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1925" firstSheet="4" activeTab="4"/>
  </bookViews>
  <sheets>
    <sheet name="附表1 各板块1-4月主要指标（原）" sheetId="8" state="hidden" r:id="rId1"/>
    <sheet name="附表1-1 各公司1-4月主要指标明细" sheetId="5" state="hidden" r:id="rId2"/>
    <sheet name="附表2 集团1-4月贸易业务明细" sheetId="6" state="hidden" r:id="rId3"/>
    <sheet name="附表3  集团1-4月在绵网报产值明细" sheetId="7" state="hidden" r:id="rId4"/>
    <sheet name="附件1九洲集团二〇二四年三季度主要经济指标计划" sheetId="12" r:id="rId5"/>
    <sheet name="半年指标预计" sheetId="14" state="hidden" r:id="rId6"/>
  </sheets>
  <externalReferences>
    <externalReference r:id="rId10"/>
  </externalReferences>
  <definedNames>
    <definedName name="_xlnm._FilterDatabase" localSheetId="4" hidden="1">附件1九洲集团二〇二四年三季度主要经济指标计划!$6:$85</definedName>
    <definedName name="_xlnm.Print_Area" localSheetId="4">附件1九洲集团二〇二四年三季度主要经济指标计划!$A$1:$AZ$85</definedName>
    <definedName name="_xlnm.Print_Area" localSheetId="0">'附表1 各板块1-4月主要指标（原）'!$A$2:$L$41</definedName>
    <definedName name="_xlnm.Print_Area" localSheetId="1">'附表1-1 各公司1-4月主要指标明细'!$A$1:$BE$42</definedName>
    <definedName name="_xlnm.Print_Area" localSheetId="2">'附表2 集团1-4月贸易业务明细'!$A$1:$N$31</definedName>
    <definedName name="_xlnm.Print_Area" localSheetId="3">'附表3  集团1-4月在绵网报产值明细'!$A$1:$V$25</definedName>
    <definedName name="_xlnm.Print_Titles" localSheetId="4">附件1九洲集团二〇二四年三季度主要经济指标计划!$4:$6</definedName>
    <definedName name="_xlnm.Print_Titles" localSheetId="0">'附表1 各板块1-4月主要指标（原）'!$A:$C,'附表1 各板块1-4月主要指标（原）'!$2:$3</definedName>
    <definedName name="_xlnm.Print_Titles" localSheetId="1">'附表1-1 各公司1-4月主要指标明细'!$A:$C,'附表1-1 各公司1-4月主要指标明细'!$2:$4</definedName>
    <definedName name="_xlnm._FilterDatabase" localSheetId="5" hidden="1">半年指标预计!$O:$O</definedName>
    <definedName name="_xlnm.Print_Area" localSheetId="5">半年指标预计!$A$1:$W$82</definedName>
    <definedName name="_xlnm.Print_Titles" localSheetId="5">半年指标预计!$2:$4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cz</author>
    <author>Unknown User</author>
    <author>ZC</author>
  </authors>
  <commentList>
    <comment ref="AJ13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不含分红</t>
        </r>
      </text>
    </comment>
    <comment ref="H19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有一半为与783的关联</t>
        </r>
      </text>
    </comment>
    <comment ref="K19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比半年调度数少288万，此为最新数据
</t>
        </r>
      </text>
    </comment>
    <comment ref="AJ19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比21日调度数少760万，唐蜜解释为之前高估了毛利，140为最新数据
</t>
        </r>
      </text>
    </comment>
    <comment ref="AV30" authorId="1">
      <text>
        <r>
          <rPr>
            <b/>
            <sz val="9"/>
            <rFont val="宋体"/>
            <charset val="134"/>
          </rPr>
          <t>余秀:</t>
        </r>
        <r>
          <rPr>
            <sz val="9"/>
            <rFont val="宋体"/>
            <charset val="134"/>
          </rPr>
          <t xml:space="preserve">
剔除深九电器分红174万
</t>
        </r>
      </text>
    </comment>
    <comment ref="AJ36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经营利润，报表利润32
万</t>
        </r>
      </text>
    </comment>
    <comment ref="AS36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报表利润65万元
</t>
        </r>
      </text>
    </comment>
    <comment ref="AV36" authorId="2">
      <text>
        <r>
          <rPr>
            <sz val="9"/>
            <rFont val="宋体"/>
            <charset val="134"/>
          </rPr>
          <t>报表利润83万，经营利润120万</t>
        </r>
      </text>
    </comment>
    <comment ref="AJ44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经营利润，报表利润为-393万</t>
        </r>
      </text>
    </comment>
    <comment ref="AS44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报表利润-560
</t>
        </r>
      </text>
    </comment>
    <comment ref="AV44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报表利润233.28万
</t>
        </r>
      </text>
    </comment>
    <comment ref="K48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导航位置单体比21日调度金额少2125万，此为最新数据
</t>
        </r>
      </text>
    </comment>
    <comment ref="AJ52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含东强1-3月</t>
        </r>
      </text>
    </comment>
    <comment ref="K53" authorId="1">
      <text>
        <r>
          <rPr>
            <b/>
            <sz val="9"/>
            <rFont val="宋体"/>
            <charset val="134"/>
          </rPr>
          <t>陈吟:</t>
        </r>
        <r>
          <rPr>
            <sz val="9"/>
            <rFont val="宋体"/>
            <charset val="134"/>
          </rPr>
          <t xml:space="preserve">
含东强1-3月18949万
</t>
        </r>
      </text>
    </comment>
    <comment ref="AE66" authorId="1">
      <text>
        <r>
          <rPr>
            <b/>
            <sz val="9"/>
            <rFont val="宋体"/>
            <charset val="134"/>
          </rPr>
          <t>司雨春:</t>
        </r>
        <r>
          <rPr>
            <sz val="9"/>
            <rFont val="宋体"/>
            <charset val="134"/>
          </rPr>
          <t xml:space="preserve">
江煮抵款房，供应商不接受房子
</t>
        </r>
      </text>
    </comment>
    <comment ref="AJ69" authorId="1">
      <text>
        <r>
          <rPr>
            <b/>
            <sz val="9"/>
            <rFont val="宋体"/>
            <charset val="134"/>
          </rPr>
          <t>陈吟:</t>
        </r>
        <r>
          <rPr>
            <sz val="9"/>
            <rFont val="宋体"/>
            <charset val="134"/>
          </rPr>
          <t xml:space="preserve">
6.28王兵电话反馈智和亏损180万
</t>
        </r>
      </text>
    </comment>
    <comment ref="AV71" authorId="1">
      <text>
        <r>
          <rPr>
            <b/>
            <sz val="9"/>
            <rFont val="宋体"/>
            <charset val="134"/>
          </rPr>
          <t>余秀:</t>
        </r>
        <r>
          <rPr>
            <sz val="9"/>
            <rFont val="宋体"/>
            <charset val="134"/>
          </rPr>
          <t xml:space="preserve">
剔除教育公司分红279万
</t>
        </r>
      </text>
    </comment>
    <comment ref="D72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经营利润
</t>
        </r>
      </text>
    </comment>
    <comment ref="AJ72" authorId="1">
      <text>
        <r>
          <rPr>
            <sz val="9"/>
            <rFont val="宋体"/>
            <charset val="134"/>
          </rPr>
          <t xml:space="preserve">余秀:
经营利润，报表利润为-29万
</t>
        </r>
      </text>
    </comment>
    <comment ref="AS72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报表利润-109
</t>
        </r>
      </text>
    </comment>
    <comment ref="AV72" authorId="2">
      <text>
        <r>
          <rPr>
            <b/>
            <sz val="9"/>
            <rFont val="宋体"/>
            <charset val="134"/>
          </rPr>
          <t>ZC:</t>
        </r>
        <r>
          <rPr>
            <sz val="9"/>
            <rFont val="宋体"/>
            <charset val="134"/>
          </rPr>
          <t xml:space="preserve">
报表利润-110，经营利润250万</t>
        </r>
      </text>
    </comment>
    <comment ref="D74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规模业务是一买一卖，2024年已停止
</t>
        </r>
      </text>
    </comment>
    <comment ref="AJ79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剔除保代分红62万</t>
        </r>
      </text>
    </comment>
    <comment ref="AS79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剔除保代分红62万
</t>
        </r>
      </text>
    </comment>
  </commentList>
</comments>
</file>

<file path=xl/comments2.xml><?xml version="1.0" encoding="utf-8"?>
<comments xmlns="http://schemas.openxmlformats.org/spreadsheetml/2006/main">
  <authors>
    <author>cz</author>
    <author>Unknown User</author>
  </authors>
  <commentList>
    <comment ref="T11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不含分红</t>
        </r>
      </text>
    </comment>
    <comment ref="G17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有一半为与783的关联</t>
        </r>
      </text>
    </comment>
    <comment ref="J17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比半年调度数少288万，此为最新数据
</t>
        </r>
      </text>
    </comment>
    <comment ref="T17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比21日调度数少760万，唐蜜解释为之前高估了毛利，140为最新数据
</t>
        </r>
      </text>
    </comment>
    <comment ref="T33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经营利润，报表利润32
万</t>
        </r>
      </text>
    </comment>
    <comment ref="T41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经营利润，报表利润为-393万</t>
        </r>
      </text>
    </comment>
    <comment ref="J45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导航位置单体比21日调度金额少2125万，此为最新数据
</t>
        </r>
      </text>
    </comment>
    <comment ref="T49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含东强1-3月</t>
        </r>
      </text>
    </comment>
    <comment ref="P64" authorId="1">
      <text>
        <r>
          <rPr>
            <b/>
            <sz val="9"/>
            <rFont val="宋体"/>
            <charset val="134"/>
          </rPr>
          <t>司雨春:</t>
        </r>
        <r>
          <rPr>
            <sz val="9"/>
            <rFont val="宋体"/>
            <charset val="134"/>
          </rPr>
          <t xml:space="preserve">
江煮抵款房，供应商不接受房子
</t>
        </r>
      </text>
    </comment>
    <comment ref="T67" authorId="1">
      <text>
        <r>
          <rPr>
            <b/>
            <sz val="9"/>
            <rFont val="宋体"/>
            <charset val="134"/>
          </rPr>
          <t>陈吟:</t>
        </r>
        <r>
          <rPr>
            <sz val="9"/>
            <rFont val="宋体"/>
            <charset val="134"/>
          </rPr>
          <t xml:space="preserve">
6.28王兵电话反馈智和亏损180万
</t>
        </r>
      </text>
    </comment>
    <comment ref="C70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经营利润
</t>
        </r>
      </text>
    </comment>
    <comment ref="T70" authorId="1">
      <text>
        <r>
          <rPr>
            <sz val="9"/>
            <rFont val="宋体"/>
            <charset val="134"/>
          </rPr>
          <t xml:space="preserve">余秀:
经营利润，报表利润为-29万
</t>
        </r>
      </text>
    </comment>
    <comment ref="C72" authorId="1">
      <text>
        <r>
          <rPr>
            <b/>
            <sz val="9"/>
            <rFont val="宋体"/>
            <charset val="134"/>
          </rPr>
          <t>余金萍:</t>
        </r>
        <r>
          <rPr>
            <sz val="9"/>
            <rFont val="宋体"/>
            <charset val="134"/>
          </rPr>
          <t xml:space="preserve">
规模业务是一买一卖，2024年已停止
</t>
        </r>
      </text>
    </comment>
    <comment ref="T77" authorId="0">
      <text>
        <r>
          <rPr>
            <b/>
            <sz val="9"/>
            <rFont val="宋体"/>
            <charset val="134"/>
          </rPr>
          <t>cz:</t>
        </r>
        <r>
          <rPr>
            <sz val="9"/>
            <rFont val="宋体"/>
            <charset val="134"/>
          </rPr>
          <t xml:space="preserve">
剔除保代分红62万</t>
        </r>
      </text>
    </comment>
  </commentList>
</comments>
</file>

<file path=xl/sharedStrings.xml><?xml version="1.0" encoding="utf-8"?>
<sst xmlns="http://schemas.openxmlformats.org/spreadsheetml/2006/main" count="1165" uniqueCount="213">
  <si>
    <t>附表1-1  集团各板块1-4月主要经济指标</t>
  </si>
  <si>
    <t>指标名称</t>
  </si>
  <si>
    <t>单位</t>
  </si>
  <si>
    <t>集团合计</t>
  </si>
  <si>
    <t>军工电子</t>
  </si>
  <si>
    <t>通信与智能终端</t>
  </si>
  <si>
    <t>软件与数据智能</t>
  </si>
  <si>
    <t>高端元器件</t>
  </si>
  <si>
    <t>汽车电子与装备</t>
  </si>
  <si>
    <t>其他业务</t>
  </si>
  <si>
    <t>职能型</t>
  </si>
  <si>
    <t>备注</t>
  </si>
  <si>
    <t>营业收入</t>
  </si>
  <si>
    <t>年计划</t>
  </si>
  <si>
    <t>万元</t>
  </si>
  <si>
    <r>
      <rPr>
        <b/>
        <sz val="11"/>
        <color rgb="FF000000"/>
        <rFont val="微软雅黑"/>
        <charset val="134"/>
      </rPr>
      <t>与同期比，军工：</t>
    </r>
    <r>
      <rPr>
        <sz val="11"/>
        <color rgb="FF000000"/>
        <rFont val="微软雅黑"/>
        <charset val="134"/>
      </rPr>
      <t xml:space="preserve">九洲电器营收减少6.36亿(贸易减少1.5亿)，九洲空管减少0.9亿，九强贸易减少1亿；
</t>
    </r>
    <r>
      <rPr>
        <b/>
        <sz val="11"/>
        <color rgb="FF000000"/>
        <rFont val="微软雅黑"/>
        <charset val="134"/>
      </rPr>
      <t>高端元器件：</t>
    </r>
    <r>
      <rPr>
        <sz val="11"/>
        <color rgb="FF000000"/>
        <rFont val="微软雅黑"/>
        <charset val="134"/>
      </rPr>
      <t xml:space="preserve">九洲线缆减少0.5亿（贸易减少1.6亿），九州光电子减少0.5亿；
</t>
    </r>
    <r>
      <rPr>
        <b/>
        <sz val="11"/>
        <color rgb="FF000000"/>
        <rFont val="微软雅黑"/>
        <charset val="134"/>
      </rPr>
      <t>其他</t>
    </r>
    <r>
      <rPr>
        <sz val="11"/>
        <color rgb="FF000000"/>
        <rFont val="微软雅黑"/>
        <charset val="134"/>
      </rPr>
      <t xml:space="preserve">：九洲千城减少1.8亿，九洲建工减少0.6亿，中油九洲北斗减少2.8亿；
</t>
    </r>
    <r>
      <rPr>
        <b/>
        <sz val="11"/>
        <color rgb="FF000000"/>
        <rFont val="微软雅黑"/>
        <charset val="134"/>
      </rPr>
      <t>职能</t>
    </r>
    <r>
      <rPr>
        <sz val="11"/>
        <color rgb="FF000000"/>
        <rFont val="微软雅黑"/>
        <charset val="134"/>
      </rPr>
      <t>：深九发减少0.9亿</t>
    </r>
  </si>
  <si>
    <t>本月</t>
  </si>
  <si>
    <t>本月止累计</t>
  </si>
  <si>
    <t>去年同期累计</t>
  </si>
  <si>
    <t>同比增减额</t>
  </si>
  <si>
    <t>同比增长</t>
  </si>
  <si>
    <t>%</t>
  </si>
  <si>
    <t>完成年计划</t>
  </si>
  <si>
    <t>利润总额</t>
  </si>
  <si>
    <r>
      <rPr>
        <b/>
        <sz val="11"/>
        <color rgb="FF000000"/>
        <rFont val="微软雅黑"/>
        <charset val="134"/>
      </rPr>
      <t>与同期比，军工</t>
    </r>
    <r>
      <rPr>
        <sz val="11"/>
        <color rgb="FF000000"/>
        <rFont val="微软雅黑"/>
        <charset val="134"/>
      </rPr>
      <t xml:space="preserve">：九洲电器减少1.7亿，除防控外，其他军工单位利润均下降，合计减少0.24亿；
</t>
    </r>
    <r>
      <rPr>
        <b/>
        <sz val="11"/>
        <color rgb="FF000000"/>
        <rFont val="微软雅黑"/>
        <charset val="134"/>
      </rPr>
      <t>其他：</t>
    </r>
    <r>
      <rPr>
        <sz val="11"/>
        <color rgb="FF000000"/>
        <rFont val="微软雅黑"/>
        <charset val="134"/>
      </rPr>
      <t>九洲千城减少0.34亿</t>
    </r>
  </si>
  <si>
    <t>-</t>
  </si>
  <si>
    <t>合同金额</t>
  </si>
  <si>
    <r>
      <rPr>
        <b/>
        <sz val="11"/>
        <color rgb="FF000000"/>
        <rFont val="微软雅黑"/>
        <charset val="134"/>
      </rPr>
      <t>与同期比，军工</t>
    </r>
    <r>
      <rPr>
        <sz val="11"/>
        <color rgb="FF000000"/>
        <rFont val="微软雅黑"/>
        <charset val="134"/>
      </rPr>
      <t xml:space="preserve">：九洲电器减少8.7亿，九洲空管减少1.5亿；
</t>
    </r>
    <r>
      <rPr>
        <b/>
        <sz val="11"/>
        <color rgb="FF000000"/>
        <rFont val="微软雅黑"/>
        <charset val="134"/>
      </rPr>
      <t>其他</t>
    </r>
    <r>
      <rPr>
        <sz val="11"/>
        <color rgb="FF000000"/>
        <rFont val="微软雅黑"/>
        <charset val="134"/>
      </rPr>
      <t xml:space="preserve">：千城减少5.6亿，建工减少1.2亿，中油九洲北斗减少4.9亿；
</t>
    </r>
    <r>
      <rPr>
        <b/>
        <sz val="11"/>
        <color rgb="FF000000"/>
        <rFont val="微软雅黑"/>
        <charset val="134"/>
      </rPr>
      <t>职能</t>
    </r>
    <r>
      <rPr>
        <sz val="11"/>
        <color rgb="FF000000"/>
        <rFont val="微软雅黑"/>
        <charset val="134"/>
      </rPr>
      <t xml:space="preserve">：深九发减少0.16亿
</t>
    </r>
  </si>
  <si>
    <t>销售回款</t>
  </si>
  <si>
    <r>
      <rPr>
        <b/>
        <sz val="11"/>
        <color rgb="FF000000"/>
        <rFont val="微软雅黑"/>
        <charset val="134"/>
      </rPr>
      <t>与同期比，军工</t>
    </r>
    <r>
      <rPr>
        <sz val="11"/>
        <color rgb="FF000000"/>
        <rFont val="微软雅黑"/>
        <charset val="134"/>
      </rPr>
      <t>：九洲电器减少3亿，九洲空管减少0.12亿；</t>
    </r>
    <r>
      <rPr>
        <b/>
        <sz val="11"/>
        <color rgb="FF000000"/>
        <rFont val="微软雅黑"/>
        <charset val="134"/>
      </rPr>
      <t>元器件：</t>
    </r>
    <r>
      <rPr>
        <sz val="11"/>
        <color rgb="FF000000"/>
        <rFont val="微软雅黑"/>
        <charset val="134"/>
      </rPr>
      <t>依顿减少0.8亿，线缆减少0.4亿，光电子减少0.9亿；</t>
    </r>
    <r>
      <rPr>
        <b/>
        <sz val="11"/>
        <color rgb="FF000000"/>
        <rFont val="微软雅黑"/>
        <charset val="134"/>
      </rPr>
      <t>其他：</t>
    </r>
    <r>
      <rPr>
        <sz val="11"/>
        <color rgb="FF000000"/>
        <rFont val="微软雅黑"/>
        <charset val="134"/>
      </rPr>
      <t>千城、建工减少8.9亿，中油、聚力减少3亿</t>
    </r>
  </si>
  <si>
    <t>上交税金</t>
  </si>
  <si>
    <r>
      <rPr>
        <b/>
        <sz val="11"/>
        <color rgb="FF000000"/>
        <rFont val="微软雅黑"/>
        <charset val="134"/>
      </rPr>
      <t>与同期比，</t>
    </r>
    <r>
      <rPr>
        <sz val="11"/>
        <color rgb="FF000000"/>
        <rFont val="微软雅黑"/>
        <charset val="134"/>
      </rPr>
      <t>微精电机减少0.5亿（去年代缴股权转让个税）</t>
    </r>
  </si>
  <si>
    <t>工资总额</t>
  </si>
  <si>
    <r>
      <rPr>
        <b/>
        <sz val="11"/>
        <color rgb="FF000000"/>
        <rFont val="微软雅黑"/>
        <charset val="134"/>
      </rPr>
      <t>与同期比，
1.</t>
    </r>
    <r>
      <rPr>
        <sz val="11"/>
        <color rgb="FF000000"/>
        <rFont val="微软雅黑"/>
        <charset val="134"/>
      </rPr>
      <t xml:space="preserve">2024年1-4月平均人数同比增加1920人（日常人均月工资0.67万元/月×4月），工资总额同比增长约5146万元；
</t>
    </r>
    <r>
      <rPr>
        <b/>
        <sz val="11"/>
        <color rgb="FF000000"/>
        <rFont val="微软雅黑"/>
        <charset val="134"/>
      </rPr>
      <t>2.</t>
    </r>
    <r>
      <rPr>
        <sz val="11"/>
        <color rgb="FF000000"/>
        <rFont val="微软雅黑"/>
        <charset val="134"/>
      </rPr>
      <t xml:space="preserve">年终奖金较上年同比增长约7855万；
</t>
    </r>
  </si>
  <si>
    <t>期末人员</t>
  </si>
  <si>
    <t>人</t>
  </si>
  <si>
    <t>附表1-1</t>
  </si>
  <si>
    <t>各公司1-4月主要指标明细表</t>
  </si>
  <si>
    <t>总部
（不含分红）</t>
  </si>
  <si>
    <t>合计</t>
  </si>
  <si>
    <t>九洲电器合并</t>
  </si>
  <si>
    <t>九洲电器单体</t>
  </si>
  <si>
    <t>九强通信</t>
  </si>
  <si>
    <t>志良电子</t>
  </si>
  <si>
    <t>长九光电</t>
  </si>
  <si>
    <t>九洲空管</t>
  </si>
  <si>
    <t>九洲迪飞</t>
  </si>
  <si>
    <t>九洲防控</t>
  </si>
  <si>
    <t>九洲星熠</t>
  </si>
  <si>
    <t>九州科技合计</t>
  </si>
  <si>
    <t>九州科技本部</t>
  </si>
  <si>
    <t>深九电器主业</t>
  </si>
  <si>
    <t>福瑞祥电器</t>
  </si>
  <si>
    <t>湖山电器合计</t>
  </si>
  <si>
    <t>其中：湖山电器本部</t>
  </si>
  <si>
    <t>其中：深圳光电</t>
  </si>
  <si>
    <t>四川九洲光电</t>
  </si>
  <si>
    <t>四川科瑞</t>
  </si>
  <si>
    <t>九洲软件</t>
  </si>
  <si>
    <t>成都九洲电子</t>
  </si>
  <si>
    <t>九洲视讯</t>
  </si>
  <si>
    <t>九洲北斗位置</t>
  </si>
  <si>
    <t>依顿电子</t>
  </si>
  <si>
    <t>九洲线缆</t>
  </si>
  <si>
    <t>九州光电子</t>
  </si>
  <si>
    <t>微精电机</t>
  </si>
  <si>
    <t>安和精密</t>
  </si>
  <si>
    <t>九洲隆瓴</t>
  </si>
  <si>
    <t>九洲智造</t>
  </si>
  <si>
    <t>九洲千城</t>
  </si>
  <si>
    <t>九洲建工</t>
  </si>
  <si>
    <t>九洲环保</t>
  </si>
  <si>
    <t>中油九洲北斗</t>
  </si>
  <si>
    <t>九洲聚力</t>
  </si>
  <si>
    <t>深圳投资发展</t>
  </si>
  <si>
    <t>香港控股</t>
  </si>
  <si>
    <t>九洲智和</t>
  </si>
  <si>
    <t>深圳九洲光电子</t>
  </si>
  <si>
    <t>深圳投资发展本部</t>
  </si>
  <si>
    <t>深圳光电子</t>
  </si>
  <si>
    <t>深九电器房租</t>
  </si>
  <si>
    <t>九洲教投</t>
  </si>
  <si>
    <t>九洲保代</t>
  </si>
  <si>
    <t>九洲后勤</t>
  </si>
  <si>
    <t>九洲创投</t>
  </si>
  <si>
    <t>附表2</t>
  </si>
  <si>
    <t>集团贸易业务明细</t>
  </si>
  <si>
    <t>贸易业务（1-3）</t>
  </si>
  <si>
    <t>贸易业务（1-4）</t>
  </si>
  <si>
    <t>九强公司</t>
  </si>
  <si>
    <t>贸易业务（1-5）</t>
  </si>
  <si>
    <t>贸易业务（1-6）</t>
  </si>
  <si>
    <t>附表1-2  集团1-4月在绵网报产值明细</t>
  </si>
  <si>
    <t>国家、省统税比指标衡量工业数据质量，绵阳市统税比很高（目前未给数据），全国低于1，目前是以县/区为单位来衡量，不会通报企业</t>
  </si>
  <si>
    <t>单位：万元</t>
  </si>
  <si>
    <t>公司名称</t>
  </si>
  <si>
    <t>年度产值</t>
  </si>
  <si>
    <t>纳税申报表开票收入（含税）</t>
  </si>
  <si>
    <t>统税比（产值/纳税申报表开票收入）</t>
  </si>
  <si>
    <t>工业产值</t>
  </si>
  <si>
    <t>统税比
（产值/纳税申报表开票收入）</t>
  </si>
  <si>
    <t>全年预计</t>
  </si>
  <si>
    <t>去年同期</t>
  </si>
  <si>
    <t>同比</t>
  </si>
  <si>
    <t>1-2月</t>
  </si>
  <si>
    <t>3月</t>
  </si>
  <si>
    <t>1-3月</t>
  </si>
  <si>
    <t>4月</t>
  </si>
  <si>
    <t>1-4月预计</t>
  </si>
  <si>
    <t>年计划完成率</t>
  </si>
  <si>
    <t>上半年预计</t>
  </si>
  <si>
    <t>在绵合计</t>
  </si>
  <si>
    <t>在绵网报产值</t>
  </si>
  <si>
    <t>其中：科技城新区</t>
  </si>
  <si>
    <t>九洲电器</t>
  </si>
  <si>
    <t>九洲投控</t>
  </si>
  <si>
    <t>九州科技</t>
  </si>
  <si>
    <t xml:space="preserve">   九州光电子本部</t>
  </si>
  <si>
    <t xml:space="preserve">   九华光子</t>
  </si>
  <si>
    <t>湖山电器</t>
  </si>
  <si>
    <t xml:space="preserve">   九洲线缆本部</t>
  </si>
  <si>
    <t xml:space="preserve">   九洲顺达 </t>
  </si>
  <si>
    <t>环保科技</t>
  </si>
  <si>
    <t>附件1</t>
  </si>
  <si>
    <r>
      <rPr>
        <sz val="16"/>
        <color rgb="FF000000"/>
        <rFont val="方正小标宋简体"/>
        <charset val="134"/>
      </rPr>
      <t>九洲集团二</t>
    </r>
    <r>
      <rPr>
        <sz val="16"/>
        <color rgb="FF000000"/>
        <rFont val="宋体"/>
        <charset val="134"/>
      </rPr>
      <t>〇</t>
    </r>
    <r>
      <rPr>
        <sz val="16"/>
        <color rgb="FF000000"/>
        <rFont val="方正小标宋简体"/>
        <charset val="134"/>
      </rPr>
      <t>二四年三季度经营指标计划</t>
    </r>
  </si>
  <si>
    <t>板块</t>
  </si>
  <si>
    <t>序号</t>
  </si>
  <si>
    <t>属性</t>
  </si>
  <si>
    <t>年度目标</t>
  </si>
  <si>
    <t>半年目标</t>
  </si>
  <si>
    <t>调度目标</t>
  </si>
  <si>
    <t>半年预计</t>
  </si>
  <si>
    <t>半年缺口</t>
  </si>
  <si>
    <t>半年计划完成率</t>
  </si>
  <si>
    <t>三季度</t>
  </si>
  <si>
    <t>较目标缺口</t>
  </si>
  <si>
    <t>完成率</t>
  </si>
  <si>
    <t>7月</t>
  </si>
  <si>
    <t>8月</t>
  </si>
  <si>
    <t>9月</t>
  </si>
  <si>
    <t>1-7月累计</t>
  </si>
  <si>
    <t>去年1-X月同期</t>
  </si>
  <si>
    <t>1-X月同比</t>
  </si>
  <si>
    <t>1-3季度预计</t>
  </si>
  <si>
    <t>目标</t>
  </si>
  <si>
    <t>产业公司反馈</t>
  </si>
  <si>
    <t>jthj</t>
  </si>
  <si>
    <t>关联抵减</t>
  </si>
  <si>
    <t>建工和千城不抵减关联</t>
  </si>
  <si>
    <t>线缆并购东强溢价</t>
  </si>
  <si>
    <t>东强1-3月数据</t>
  </si>
  <si>
    <t>香港控股、深圳光电、成都九洲电子经营报表利润差异</t>
  </si>
  <si>
    <t>总部</t>
  </si>
  <si>
    <t>产业公司合计</t>
  </si>
  <si>
    <t>计划</t>
  </si>
  <si>
    <t>电子装备</t>
  </si>
  <si>
    <t>板块合计</t>
  </si>
  <si>
    <t>九洲电器（单体）</t>
  </si>
  <si>
    <t>jgdz</t>
  </si>
  <si>
    <t>制造</t>
  </si>
  <si>
    <t>三季度预计亏损，完成难度大</t>
  </si>
  <si>
    <t>其中：主业</t>
  </si>
  <si>
    <t>其中：规模</t>
  </si>
  <si>
    <t>gm</t>
  </si>
  <si>
    <t xml:space="preserve">年度目标1.7亿为与九洲电器关联交易，老产品的切入变更还在推进，未能形成收入
</t>
  </si>
  <si>
    <t>项目延后，完成有难度</t>
  </si>
  <si>
    <t>九州科技（合并）</t>
  </si>
  <si>
    <t>txzd</t>
  </si>
  <si>
    <t>九洲制造亏损6000万</t>
  </si>
  <si>
    <t>（1）</t>
  </si>
  <si>
    <t>九州科技（单体）</t>
  </si>
  <si>
    <t>（2）</t>
  </si>
  <si>
    <t>深九电器（主业）</t>
  </si>
  <si>
    <t>其中：九洲智造</t>
  </si>
  <si>
    <t>qcdz</t>
  </si>
  <si>
    <t>6月1日开始停止经营，6月离职补偿200余万</t>
  </si>
  <si>
    <t>湖山电器（合并）</t>
  </si>
  <si>
    <t>营收下降2000万，毛利减少600万，预计4200难以完成</t>
  </si>
  <si>
    <t>深圳九洲光电</t>
  </si>
  <si>
    <t>rjzn</t>
  </si>
  <si>
    <t>平台</t>
  </si>
  <si>
    <t>其中：平台</t>
  </si>
  <si>
    <t>九洲软件（合并）</t>
  </si>
  <si>
    <t>软件</t>
  </si>
  <si>
    <t>九洲软件（单体）</t>
  </si>
  <si>
    <t>成都九洲</t>
  </si>
  <si>
    <t>（3）</t>
  </si>
  <si>
    <t>（4）</t>
  </si>
  <si>
    <t>gdyqj</t>
  </si>
  <si>
    <t>深圳装备约有3台设备未出库，预计影响利润100万；2.海思光模块业务5月新增人员633人，人均产出效率不高，对利润造成影响。</t>
  </si>
  <si>
    <t>汽车电子</t>
  </si>
  <si>
    <t>IVI产品部分客户订单推迟到下半年</t>
  </si>
  <si>
    <t>qt</t>
  </si>
  <si>
    <t>20</t>
  </si>
  <si>
    <t>21</t>
  </si>
  <si>
    <t>房地产</t>
  </si>
  <si>
    <t>职能型公司</t>
  </si>
  <si>
    <t>znx</t>
  </si>
  <si>
    <t xml:space="preserve">     深圳光电子</t>
  </si>
  <si>
    <t xml:space="preserve">     深九发本部</t>
  </si>
  <si>
    <t xml:space="preserve">    深九电器房产</t>
  </si>
  <si>
    <t>智慧城市</t>
  </si>
  <si>
    <t>博玮实业</t>
  </si>
  <si>
    <t>鸿瑞实业</t>
  </si>
  <si>
    <t>运输公司</t>
  </si>
  <si>
    <t>1. 九洲线缆包含并购东强公司全年数据；深圳片区房产包含深圳九洲光电子、深九电器、深九发以及总部在深圳房产
2. 深圳九洲光电利润目标=财务报表利润+历史遗留（2020年3月31日前）问题产生的摊销等费用；
   成都九洲利润目标=财务报表利润+历史遗留（2019年6月30日前）问题产生的减值以及财务费用；
   香港控股利润目标=财务报表利润+历史遗留（2019年12月31日前）问题产生的减值以及财务费用。</t>
  </si>
  <si>
    <t>通信终端</t>
  </si>
  <si>
    <t>软件智能</t>
  </si>
  <si>
    <t>其他</t>
  </si>
  <si>
    <t>职能公司</t>
  </si>
  <si>
    <t>规模</t>
  </si>
  <si>
    <t>核对</t>
  </si>
  <si>
    <t xml:space="preserve"> 集团各公司上半年主要经济指标预计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</si>
</sst>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_ "/>
    <numFmt numFmtId="178" formatCode="0.00_ "/>
    <numFmt numFmtId="179" formatCode="0_);[Red]\(0\)"/>
    <numFmt numFmtId="180" formatCode="0_);\(0\)"/>
    <numFmt numFmtId="181" formatCode="0.0_ "/>
    <numFmt numFmtId="182" formatCode="0.0"/>
    <numFmt numFmtId="183" formatCode="_ * #,##0_ ;_ * \-#,##0_ ;_ * &quot;-&quot;??_ ;_ @_ "/>
    <numFmt numFmtId="184" formatCode="#,##0_ "/>
  </numFmts>
  <fonts count="69">
    <font>
      <sz val="11"/>
      <color rgb="FF000000"/>
      <name val="Arial"/>
      <charset val="204"/>
    </font>
    <font>
      <sz val="12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6"/>
      <color rgb="FF000000"/>
      <name val="方正小标宋简体"/>
      <charset val="134"/>
    </font>
    <font>
      <b/>
      <sz val="12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1"/>
      <name val="Arial"/>
      <charset val="204"/>
    </font>
    <font>
      <sz val="11"/>
      <name val="宋体"/>
      <charset val="204"/>
    </font>
    <font>
      <b/>
      <sz val="11"/>
      <name val="Arial"/>
      <charset val="204"/>
    </font>
    <font>
      <sz val="10"/>
      <name val="仿宋_GB2312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16"/>
      <name val="方正小标宋简体"/>
      <charset val="134"/>
    </font>
    <font>
      <sz val="10"/>
      <color rgb="FF000000"/>
      <name val="Arial"/>
      <charset val="204"/>
    </font>
    <font>
      <b/>
      <sz val="16"/>
      <color rgb="FF000000"/>
      <name val="方正小标宋简体"/>
      <charset val="134"/>
    </font>
    <font>
      <sz val="11"/>
      <color rgb="FF000000"/>
      <name val="仿宋_GB2312"/>
      <charset val="204"/>
    </font>
    <font>
      <sz val="11"/>
      <name val="仿宋_GB2312"/>
      <charset val="204"/>
    </font>
    <font>
      <sz val="10"/>
      <color rgb="FF000000"/>
      <name val="仿宋_GB2312"/>
      <charset val="134"/>
    </font>
    <font>
      <b/>
      <sz val="11"/>
      <name val="仿宋_GB2312"/>
      <charset val="204"/>
    </font>
    <font>
      <sz val="12"/>
      <color rgb="FF000000"/>
      <name val="微软雅黑"/>
      <charset val="134"/>
    </font>
    <font>
      <b/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373C43"/>
      <name val="宋体"/>
      <charset val="134"/>
    </font>
    <font>
      <b/>
      <sz val="9"/>
      <color rgb="FF000000"/>
      <name val="宋体"/>
      <charset val="134"/>
      <scheme val="minor"/>
    </font>
    <font>
      <sz val="11"/>
      <color rgb="FF1F2329"/>
      <name val="宋体"/>
      <charset val="134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2"/>
      <color indexed="8"/>
      <name val="微软雅黑"/>
      <charset val="134"/>
    </font>
    <font>
      <sz val="16"/>
      <color indexed="8"/>
      <name val="微软雅黑"/>
      <charset val="134"/>
    </font>
    <font>
      <sz val="10"/>
      <color rgb="FF000000"/>
      <name val="微软雅黑"/>
      <charset val="134"/>
    </font>
    <font>
      <sz val="9"/>
      <name val="微软雅黑"/>
      <charset val="134"/>
    </font>
    <font>
      <sz val="9"/>
      <color indexed="8"/>
      <name val="微软雅黑"/>
      <charset val="134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sz val="16"/>
      <color indexed="8"/>
      <name val="方正小标宋简体"/>
      <charset val="134"/>
    </font>
    <font>
      <sz val="18"/>
      <name val="方正小标宋简体"/>
      <charset val="134"/>
    </font>
    <font>
      <sz val="11"/>
      <name val="微软雅黑"/>
      <charset val="134"/>
    </font>
    <font>
      <b/>
      <sz val="11"/>
      <color rgb="FF000000"/>
      <name val="微软雅黑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6FA"/>
        <bgColor rgb="FFD2E6FA"/>
      </patternFill>
    </fill>
    <fill>
      <patternFill patternType="solid">
        <fgColor theme="4" tint="0.799981688894314"/>
        <bgColor rgb="FFD2E6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rgb="FFA6A6A6"/>
      </right>
      <top style="thin">
        <color auto="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auto="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auto="1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auto="1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/>
      <right/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6" fillId="0" borderId="0" applyFont="0" applyFill="0" applyBorder="0" applyAlignment="0" applyProtection="0">
      <alignment vertical="center"/>
    </xf>
    <xf numFmtId="44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2" fontId="46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13" borderId="30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1" applyNumberFormat="0" applyFill="0" applyAlignment="0" applyProtection="0">
      <alignment vertical="center"/>
    </xf>
    <xf numFmtId="0" fontId="53" fillId="0" borderId="31" applyNumberFormat="0" applyFill="0" applyAlignment="0" applyProtection="0">
      <alignment vertical="center"/>
    </xf>
    <xf numFmtId="0" fontId="54" fillId="0" borderId="32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14" borderId="33" applyNumberFormat="0" applyAlignment="0" applyProtection="0">
      <alignment vertical="center"/>
    </xf>
    <xf numFmtId="0" fontId="56" fillId="15" borderId="34" applyNumberFormat="0" applyAlignment="0" applyProtection="0">
      <alignment vertical="center"/>
    </xf>
    <xf numFmtId="0" fontId="57" fillId="15" borderId="33" applyNumberFormat="0" applyAlignment="0" applyProtection="0">
      <alignment vertical="center"/>
    </xf>
    <xf numFmtId="0" fontId="58" fillId="16" borderId="35" applyNumberFormat="0" applyAlignment="0" applyProtection="0">
      <alignment vertical="center"/>
    </xf>
    <xf numFmtId="0" fontId="59" fillId="0" borderId="36" applyNumberFormat="0" applyFill="0" applyAlignment="0" applyProtection="0">
      <alignment vertical="center"/>
    </xf>
    <xf numFmtId="0" fontId="60" fillId="0" borderId="37" applyNumberFormat="0" applyFill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5" fillId="40" borderId="0" applyNumberFormat="0" applyBorder="0" applyAlignment="0" applyProtection="0">
      <alignment vertical="center"/>
    </xf>
    <xf numFmtId="0" fontId="65" fillId="41" borderId="0" applyNumberFormat="0" applyBorder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46" fillId="0" borderId="0">
      <alignment vertical="center"/>
    </xf>
  </cellStyleXfs>
  <cellXfs count="396">
    <xf numFmtId="49" fontId="0" fillId="0" borderId="0" xfId="0" applyNumberFormat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177" fontId="4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7" fontId="4" fillId="0" borderId="3" xfId="3" applyNumberFormat="1" applyFont="1" applyFill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6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177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177" fontId="2" fillId="4" borderId="3" xfId="0" applyNumberFormat="1" applyFont="1" applyFill="1" applyBorder="1" applyAlignment="1" applyProtection="1">
      <alignment horizontal="center" vertical="center"/>
      <protection locked="0"/>
    </xf>
    <xf numFmtId="176" fontId="2" fillId="4" borderId="3" xfId="3" applyNumberFormat="1" applyFont="1" applyFill="1" applyBorder="1" applyAlignment="1" applyProtection="1">
      <alignment horizontal="center" vertical="center"/>
      <protection locked="0"/>
    </xf>
    <xf numFmtId="177" fontId="2" fillId="4" borderId="3" xfId="3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center" vertical="center"/>
    </xf>
    <xf numFmtId="176" fontId="4" fillId="0" borderId="3" xfId="3" applyNumberFormat="1" applyFont="1" applyFill="1" applyBorder="1" applyAlignment="1">
      <alignment horizontal="center" vertical="center"/>
    </xf>
    <xf numFmtId="176" fontId="2" fillId="4" borderId="3" xfId="3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43" fontId="9" fillId="0" borderId="3" xfId="0" applyNumberFormat="1" applyFont="1" applyBorder="1" applyAlignment="1">
      <alignment horizontal="center" vertical="center"/>
    </xf>
    <xf numFmtId="43" fontId="9" fillId="0" borderId="3" xfId="0" applyNumberFormat="1" applyFont="1" applyFill="1" applyBorder="1" applyAlignment="1">
      <alignment horizontal="center" vertical="center"/>
    </xf>
    <xf numFmtId="43" fontId="2" fillId="4" borderId="3" xfId="0" applyNumberFormat="1" applyFont="1" applyFill="1" applyBorder="1" applyAlignment="1">
      <alignment horizontal="center" vertical="center"/>
    </xf>
    <xf numFmtId="177" fontId="2" fillId="4" borderId="3" xfId="3" applyNumberFormat="1" applyFont="1" applyFill="1" applyBorder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176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177" fontId="7" fillId="3" borderId="3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76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177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76" fontId="2" fillId="4" borderId="8" xfId="3" applyNumberFormat="1" applyFont="1" applyFill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2" fillId="0" borderId="8" xfId="3" applyNumberFormat="1" applyFont="1" applyFill="1" applyBorder="1" applyAlignment="1" applyProtection="1">
      <alignment horizontal="center" vertical="center"/>
      <protection locked="0"/>
    </xf>
    <xf numFmtId="43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top" wrapText="1"/>
    </xf>
    <xf numFmtId="177" fontId="4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Alignment="1">
      <alignment horizontal="left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top" wrapText="1"/>
    </xf>
    <xf numFmtId="177" fontId="4" fillId="0" borderId="3" xfId="0" applyNumberFormat="1" applyFont="1" applyBorder="1" applyAlignment="1">
      <alignment horizontal="center" vertical="top" wrapText="1"/>
    </xf>
    <xf numFmtId="176" fontId="4" fillId="0" borderId="3" xfId="0" applyNumberFormat="1" applyFont="1" applyBorder="1" applyAlignment="1">
      <alignment horizontal="center" vertical="top" wrapText="1"/>
    </xf>
    <xf numFmtId="10" fontId="4" fillId="6" borderId="3" xfId="0" applyNumberFormat="1" applyFont="1" applyFill="1" applyBorder="1" applyAlignment="1">
      <alignment horizontal="right" vertical="center"/>
    </xf>
    <xf numFmtId="10" fontId="4" fillId="0" borderId="3" xfId="0" applyNumberFormat="1" applyFont="1" applyFill="1" applyBorder="1" applyAlignment="1">
      <alignment horizontal="right" vertical="center"/>
    </xf>
    <xf numFmtId="176" fontId="2" fillId="4" borderId="8" xfId="3" applyNumberFormat="1" applyFont="1" applyFill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6" borderId="3" xfId="0" applyNumberFormat="1" applyFont="1" applyFill="1" applyBorder="1" applyAlignment="1">
      <alignment horizontal="right" vertical="center"/>
    </xf>
    <xf numFmtId="10" fontId="4" fillId="6" borderId="0" xfId="0" applyNumberFormat="1" applyFont="1" applyFill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0" fontId="4" fillId="0" borderId="0" xfId="0" applyNumberFormat="1" applyFont="1" applyFill="1" applyAlignment="1">
      <alignment horizontal="right" vertical="center"/>
    </xf>
    <xf numFmtId="0" fontId="15" fillId="0" borderId="0" xfId="0" applyFont="1" applyFill="1" applyAlignment="1">
      <alignment horizontal="center" vertical="center"/>
    </xf>
    <xf numFmtId="177" fontId="15" fillId="0" borderId="0" xfId="0" applyNumberFormat="1" applyFont="1" applyFill="1" applyAlignment="1">
      <alignment horizontal="center" vertical="center"/>
    </xf>
    <xf numFmtId="177" fontId="15" fillId="0" borderId="0" xfId="3" applyNumberFormat="1" applyFont="1" applyFill="1" applyAlignment="1">
      <alignment horizontal="center" vertical="center"/>
    </xf>
    <xf numFmtId="177" fontId="16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177" fontId="2" fillId="3" borderId="0" xfId="0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vertical="center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vertical="center" wrapText="1"/>
      <protection locked="0"/>
    </xf>
    <xf numFmtId="176" fontId="2" fillId="0" borderId="3" xfId="3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 applyProtection="1">
      <alignment horizontal="center" vertical="center"/>
      <protection locked="0"/>
    </xf>
    <xf numFmtId="43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 wrapText="1"/>
    </xf>
    <xf numFmtId="177" fontId="3" fillId="3" borderId="3" xfId="0" applyNumberFormat="1" applyFont="1" applyFill="1" applyBorder="1" applyAlignment="1" applyProtection="1">
      <alignment vertical="center" wrapText="1"/>
      <protection locked="0"/>
    </xf>
    <xf numFmtId="0" fontId="18" fillId="0" borderId="3" xfId="0" applyFont="1" applyBorder="1"/>
    <xf numFmtId="177" fontId="9" fillId="0" borderId="3" xfId="0" applyNumberFormat="1" applyFont="1" applyBorder="1" applyAlignment="1" applyProtection="1">
      <alignment horizontal="center" vertical="center"/>
      <protection locked="0"/>
    </xf>
    <xf numFmtId="10" fontId="9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3" xfId="3" applyNumberFormat="1" applyFont="1" applyFill="1" applyBorder="1" applyAlignment="1" applyProtection="1">
      <alignment horizontal="center" vertical="center"/>
      <protection locked="0"/>
    </xf>
    <xf numFmtId="177" fontId="2" fillId="0" borderId="3" xfId="3" applyNumberFormat="1" applyFont="1" applyFill="1" applyBorder="1" applyAlignment="1">
      <alignment horizontal="center" vertical="center"/>
    </xf>
    <xf numFmtId="177" fontId="19" fillId="3" borderId="0" xfId="0" applyNumberFormat="1" applyFont="1" applyFill="1" applyAlignment="1">
      <alignment horizontal="center" vertical="center" wrapText="1"/>
    </xf>
    <xf numFmtId="177" fontId="7" fillId="3" borderId="3" xfId="0" applyNumberFormat="1" applyFont="1" applyFill="1" applyBorder="1" applyAlignment="1" applyProtection="1">
      <alignment horizontal="center" vertical="center"/>
      <protection locked="0"/>
    </xf>
    <xf numFmtId="177" fontId="7" fillId="3" borderId="3" xfId="0" applyNumberFormat="1" applyFont="1" applyFill="1" applyBorder="1" applyAlignment="1">
      <alignment horizontal="center" vertical="center"/>
    </xf>
    <xf numFmtId="177" fontId="2" fillId="3" borderId="3" xfId="3" applyNumberFormat="1" applyFont="1" applyFill="1" applyBorder="1" applyAlignment="1">
      <alignment horizontal="center" vertical="center"/>
    </xf>
    <xf numFmtId="177" fontId="7" fillId="0" borderId="3" xfId="3" applyNumberFormat="1" applyFont="1" applyFill="1" applyBorder="1" applyAlignment="1">
      <alignment horizontal="center" vertical="center"/>
    </xf>
    <xf numFmtId="177" fontId="9" fillId="0" borderId="3" xfId="3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/>
      <protection locked="0"/>
    </xf>
    <xf numFmtId="177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0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177" fontId="2" fillId="7" borderId="3" xfId="3" applyNumberFormat="1" applyFont="1" applyFill="1" applyBorder="1" applyAlignment="1" applyProtection="1">
      <alignment horizontal="center" vertical="center"/>
      <protection locked="0"/>
    </xf>
    <xf numFmtId="176" fontId="2" fillId="4" borderId="0" xfId="3" applyNumberFormat="1" applyFont="1" applyFill="1" applyBorder="1" applyAlignment="1" applyProtection="1">
      <alignment horizontal="center" vertical="center"/>
      <protection locked="0"/>
    </xf>
    <xf numFmtId="177" fontId="4" fillId="0" borderId="3" xfId="3" applyNumberFormat="1" applyFont="1" applyFill="1" applyBorder="1" applyAlignment="1" applyProtection="1">
      <alignment horizontal="center" vertical="center"/>
      <protection locked="0"/>
    </xf>
    <xf numFmtId="176" fontId="4" fillId="0" borderId="8" xfId="3" applyNumberFormat="1" applyFont="1" applyFill="1" applyBorder="1" applyAlignment="1">
      <alignment horizontal="center" vertical="center"/>
    </xf>
    <xf numFmtId="176" fontId="4" fillId="0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Fill="1" applyAlignment="1">
      <alignment horizontal="left" vertical="top" wrapText="1"/>
    </xf>
    <xf numFmtId="177" fontId="2" fillId="0" borderId="3" xfId="3" applyNumberFormat="1" applyFont="1" applyFill="1" applyBorder="1" applyAlignment="1" applyProtection="1">
      <alignment horizontal="center" vertical="center"/>
      <protection locked="0"/>
    </xf>
    <xf numFmtId="176" fontId="22" fillId="0" borderId="8" xfId="3" applyNumberFormat="1" applyFont="1" applyFill="1" applyBorder="1" applyAlignment="1">
      <alignment horizontal="center" vertical="center" wrapText="1"/>
    </xf>
    <xf numFmtId="176" fontId="22" fillId="0" borderId="0" xfId="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76" fontId="2" fillId="0" borderId="8" xfId="3" applyNumberFormat="1" applyFont="1" applyFill="1" applyBorder="1" applyAlignment="1">
      <alignment horizontal="center" vertical="center"/>
    </xf>
    <xf numFmtId="176" fontId="2" fillId="0" borderId="0" xfId="3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vertical="center"/>
    </xf>
    <xf numFmtId="43" fontId="4" fillId="0" borderId="8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 wrapText="1"/>
    </xf>
    <xf numFmtId="0" fontId="4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7" fontId="4" fillId="0" borderId="15" xfId="3" applyNumberFormat="1" applyFont="1" applyFill="1" applyBorder="1" applyAlignment="1" applyProtection="1">
      <alignment horizontal="left" vertical="center" wrapText="1"/>
      <protection locked="0"/>
    </xf>
    <xf numFmtId="177" fontId="4" fillId="0" borderId="1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/>
    </xf>
    <xf numFmtId="43" fontId="9" fillId="0" borderId="5" xfId="0" applyNumberFormat="1" applyFont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5" xfId="3" applyNumberFormat="1" applyFont="1" applyFill="1" applyBorder="1" applyAlignment="1">
      <alignment horizontal="center" vertical="center"/>
    </xf>
    <xf numFmtId="176" fontId="4" fillId="0" borderId="5" xfId="3" applyNumberFormat="1" applyFont="1" applyFill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177" fontId="4" fillId="0" borderId="7" xfId="3" applyNumberFormat="1" applyFont="1" applyFill="1" applyBorder="1" applyAlignment="1">
      <alignment horizontal="center" vertical="center"/>
    </xf>
    <xf numFmtId="176" fontId="4" fillId="0" borderId="7" xfId="3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top" wrapText="1"/>
    </xf>
    <xf numFmtId="177" fontId="4" fillId="0" borderId="0" xfId="0" applyNumberFormat="1" applyFont="1" applyBorder="1" applyAlignment="1">
      <alignment horizontal="center" vertical="top" wrapText="1"/>
    </xf>
    <xf numFmtId="176" fontId="4" fillId="0" borderId="0" xfId="0" applyNumberFormat="1" applyFont="1" applyBorder="1" applyAlignment="1">
      <alignment horizontal="center" vertical="top" wrapText="1"/>
    </xf>
    <xf numFmtId="177" fontId="15" fillId="0" borderId="5" xfId="0" applyNumberFormat="1" applyFont="1" applyFill="1" applyBorder="1" applyAlignment="1">
      <alignment horizontal="center" vertical="center"/>
    </xf>
    <xf numFmtId="177" fontId="4" fillId="6" borderId="3" xfId="0" applyNumberFormat="1" applyFont="1" applyFill="1" applyBorder="1" applyAlignment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77" fontId="2" fillId="3" borderId="5" xfId="3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7" fontId="14" fillId="0" borderId="5" xfId="0" applyNumberFormat="1" applyFont="1" applyBorder="1" applyAlignment="1">
      <alignment horizontal="center" vertical="center"/>
    </xf>
    <xf numFmtId="177" fontId="2" fillId="3" borderId="7" xfId="3" applyNumberFormat="1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top" wrapText="1"/>
    </xf>
    <xf numFmtId="177" fontId="2" fillId="3" borderId="5" xfId="0" applyNumberFormat="1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right" vertical="center"/>
    </xf>
    <xf numFmtId="176" fontId="4" fillId="6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177" fontId="14" fillId="0" borderId="7" xfId="0" applyNumberFormat="1" applyFont="1" applyFill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6" fontId="4" fillId="0" borderId="0" xfId="3" applyNumberFormat="1" applyFont="1" applyFill="1" applyAlignment="1">
      <alignment horizontal="center" vertical="center"/>
    </xf>
    <xf numFmtId="43" fontId="7" fillId="0" borderId="3" xfId="0" applyNumberFormat="1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center"/>
    </xf>
    <xf numFmtId="177" fontId="4" fillId="7" borderId="5" xfId="3" applyNumberFormat="1" applyFont="1" applyFill="1" applyBorder="1" applyAlignment="1" applyProtection="1">
      <alignment horizontal="center" vertical="center"/>
      <protection locked="0"/>
    </xf>
    <xf numFmtId="176" fontId="4" fillId="7" borderId="5" xfId="3" applyNumberFormat="1" applyFont="1" applyFill="1" applyBorder="1" applyAlignment="1">
      <alignment horizontal="center" vertical="center"/>
    </xf>
    <xf numFmtId="176" fontId="4" fillId="7" borderId="0" xfId="3" applyNumberFormat="1" applyFont="1" applyFill="1" applyAlignment="1">
      <alignment horizontal="center" vertical="center"/>
    </xf>
    <xf numFmtId="176" fontId="4" fillId="7" borderId="0" xfId="3" applyNumberFormat="1" applyFont="1" applyFill="1" applyBorder="1" applyAlignment="1">
      <alignment horizontal="center" vertical="center"/>
    </xf>
    <xf numFmtId="177" fontId="4" fillId="7" borderId="3" xfId="3" applyNumberFormat="1" applyFont="1" applyFill="1" applyBorder="1" applyAlignment="1" applyProtection="1">
      <alignment horizontal="center" vertical="center"/>
      <protection locked="0"/>
    </xf>
    <xf numFmtId="176" fontId="4" fillId="7" borderId="3" xfId="3" applyNumberFormat="1" applyFont="1" applyFill="1" applyBorder="1" applyAlignment="1">
      <alignment horizontal="center" vertical="center"/>
    </xf>
    <xf numFmtId="177" fontId="4" fillId="7" borderId="7" xfId="3" applyNumberFormat="1" applyFont="1" applyFill="1" applyBorder="1" applyAlignment="1" applyProtection="1">
      <alignment horizontal="center" vertical="center"/>
      <protection locked="0"/>
    </xf>
    <xf numFmtId="176" fontId="4" fillId="7" borderId="7" xfId="3" applyNumberFormat="1" applyFont="1" applyFill="1" applyBorder="1" applyAlignment="1">
      <alignment horizontal="center" vertical="center"/>
    </xf>
    <xf numFmtId="177" fontId="4" fillId="0" borderId="17" xfId="3" applyNumberFormat="1" applyFont="1" applyFill="1" applyBorder="1" applyAlignment="1" applyProtection="1">
      <alignment horizontal="left" vertical="center" wrapText="1"/>
      <protection locked="0"/>
    </xf>
    <xf numFmtId="177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76" fontId="4" fillId="6" borderId="3" xfId="3" applyNumberFormat="1" applyFont="1" applyFill="1" applyBorder="1" applyAlignment="1">
      <alignment horizontal="center" vertical="center"/>
    </xf>
    <xf numFmtId="10" fontId="4" fillId="6" borderId="0" xfId="0" applyNumberFormat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7" fillId="8" borderId="18" xfId="0" applyFont="1" applyFill="1" applyBorder="1" applyAlignment="1">
      <alignment horizontal="center" vertical="center"/>
    </xf>
    <xf numFmtId="177" fontId="27" fillId="8" borderId="18" xfId="0" applyNumberFormat="1" applyFont="1" applyFill="1" applyBorder="1" applyAlignment="1">
      <alignment horizontal="center" vertical="center" wrapText="1"/>
    </xf>
    <xf numFmtId="0" fontId="27" fillId="8" borderId="18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left" vertical="center"/>
    </xf>
    <xf numFmtId="177" fontId="28" fillId="0" borderId="18" xfId="0" applyNumberFormat="1" applyFont="1" applyBorder="1" applyAlignment="1">
      <alignment horizontal="center" vertical="center"/>
    </xf>
    <xf numFmtId="176" fontId="28" fillId="0" borderId="18" xfId="0" applyNumberFormat="1" applyFont="1" applyBorder="1" applyAlignment="1">
      <alignment horizontal="center" vertical="center"/>
    </xf>
    <xf numFmtId="178" fontId="28" fillId="0" borderId="18" xfId="0" applyNumberFormat="1" applyFont="1" applyBorder="1" applyAlignment="1">
      <alignment horizontal="center" vertical="center"/>
    </xf>
    <xf numFmtId="176" fontId="27" fillId="0" borderId="18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vertical="center"/>
    </xf>
    <xf numFmtId="0" fontId="27" fillId="0" borderId="18" xfId="0" applyFont="1" applyBorder="1" applyAlignment="1">
      <alignment horizontal="center" vertical="center"/>
    </xf>
    <xf numFmtId="177" fontId="27" fillId="0" borderId="18" xfId="0" applyNumberFormat="1" applyFont="1" applyBorder="1" applyAlignment="1">
      <alignment horizontal="center" vertical="center"/>
    </xf>
    <xf numFmtId="0" fontId="27" fillId="9" borderId="18" xfId="0" applyFont="1" applyFill="1" applyBorder="1" applyAlignment="1">
      <alignment horizontal="center" vertical="center"/>
    </xf>
    <xf numFmtId="176" fontId="27" fillId="9" borderId="18" xfId="0" applyNumberFormat="1" applyFont="1" applyFill="1" applyBorder="1" applyAlignment="1">
      <alignment horizontal="center" vertical="center"/>
    </xf>
    <xf numFmtId="178" fontId="27" fillId="0" borderId="18" xfId="0" applyNumberFormat="1" applyFont="1" applyBorder="1" applyAlignment="1">
      <alignment horizontal="center" vertical="center"/>
    </xf>
    <xf numFmtId="179" fontId="27" fillId="0" borderId="18" xfId="0" applyNumberFormat="1" applyFont="1" applyBorder="1" applyAlignment="1">
      <alignment horizontal="center" vertical="center"/>
    </xf>
    <xf numFmtId="180" fontId="27" fillId="0" borderId="18" xfId="0" applyNumberFormat="1" applyFont="1" applyBorder="1" applyAlignment="1">
      <alignment horizontal="center" vertical="center"/>
    </xf>
    <xf numFmtId="0" fontId="27" fillId="8" borderId="19" xfId="0" applyFont="1" applyFill="1" applyBorder="1" applyAlignment="1">
      <alignment horizontal="center" vertical="center" wrapText="1"/>
    </xf>
    <xf numFmtId="0" fontId="27" fillId="8" borderId="19" xfId="0" applyFont="1" applyFill="1" applyBorder="1" applyAlignment="1">
      <alignment horizontal="center" vertical="center"/>
    </xf>
    <xf numFmtId="0" fontId="27" fillId="8" borderId="20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177" fontId="29" fillId="0" borderId="18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8" borderId="21" xfId="0" applyFont="1" applyFill="1" applyBorder="1" applyAlignment="1">
      <alignment horizontal="center" vertical="center"/>
    </xf>
    <xf numFmtId="0" fontId="26" fillId="8" borderId="18" xfId="0" applyFont="1" applyFill="1" applyBorder="1" applyAlignment="1">
      <alignment horizontal="center" vertical="center"/>
    </xf>
    <xf numFmtId="177" fontId="30" fillId="0" borderId="18" xfId="0" applyNumberFormat="1" applyFont="1" applyBorder="1" applyAlignment="1">
      <alignment horizontal="center" vertical="center"/>
    </xf>
    <xf numFmtId="9" fontId="28" fillId="0" borderId="18" xfId="0" applyNumberFormat="1" applyFont="1" applyBorder="1" applyAlignment="1">
      <alignment horizontal="center" vertical="center" wrapText="1"/>
    </xf>
    <xf numFmtId="9" fontId="27" fillId="0" borderId="18" xfId="0" applyNumberFormat="1" applyFont="1" applyBorder="1" applyAlignment="1">
      <alignment horizontal="center" vertical="center" wrapText="1"/>
    </xf>
    <xf numFmtId="177" fontId="27" fillId="0" borderId="18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10" borderId="18" xfId="0" applyFont="1" applyFill="1" applyBorder="1" applyAlignment="1">
      <alignment horizontal="center" vertical="center"/>
    </xf>
    <xf numFmtId="177" fontId="31" fillId="0" borderId="18" xfId="0" applyNumberFormat="1" applyFont="1" applyBorder="1" applyAlignment="1">
      <alignment horizontal="center" vertical="center"/>
    </xf>
    <xf numFmtId="177" fontId="26" fillId="0" borderId="18" xfId="0" applyNumberFormat="1" applyFont="1" applyBorder="1" applyAlignment="1">
      <alignment horizontal="center" vertical="center"/>
    </xf>
    <xf numFmtId="176" fontId="30" fillId="0" borderId="18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vertical="center"/>
    </xf>
    <xf numFmtId="9" fontId="26" fillId="0" borderId="18" xfId="0" applyNumberFormat="1" applyFont="1" applyBorder="1" applyAlignment="1">
      <alignment vertical="center"/>
    </xf>
    <xf numFmtId="176" fontId="26" fillId="0" borderId="18" xfId="0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49" fontId="33" fillId="0" borderId="0" xfId="0" applyNumberFormat="1" applyFont="1" applyAlignment="1">
      <alignment horizontal="left" vertical="top" wrapText="1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6" fillId="11" borderId="22" xfId="0" applyFont="1" applyFill="1" applyBorder="1" applyAlignment="1">
      <alignment horizontal="center" vertical="center" wrapText="1"/>
    </xf>
    <xf numFmtId="0" fontId="16" fillId="11" borderId="23" xfId="0" applyFont="1" applyFill="1" applyBorder="1" applyAlignment="1">
      <alignment horizontal="center" vertical="center" wrapText="1"/>
    </xf>
    <xf numFmtId="0" fontId="36" fillId="12" borderId="23" xfId="0" applyFont="1" applyFill="1" applyBorder="1" applyAlignment="1">
      <alignment horizontal="center" vertical="center" wrapText="1"/>
    </xf>
    <xf numFmtId="0" fontId="16" fillId="12" borderId="23" xfId="0" applyFont="1" applyFill="1" applyBorder="1" applyAlignment="1">
      <alignment horizontal="center" vertical="center" wrapText="1"/>
    </xf>
    <xf numFmtId="0" fontId="37" fillId="0" borderId="22" xfId="0" applyFont="1" applyBorder="1" applyAlignment="1">
      <alignment vertical="center" wrapText="1"/>
    </xf>
    <xf numFmtId="0" fontId="37" fillId="0" borderId="23" xfId="0" applyFont="1" applyBorder="1" applyAlignment="1">
      <alignment vertical="center" wrapText="1"/>
    </xf>
    <xf numFmtId="0" fontId="37" fillId="0" borderId="23" xfId="0" applyFont="1" applyBorder="1" applyAlignment="1">
      <alignment horizontal="center" vertical="center" wrapText="1"/>
    </xf>
    <xf numFmtId="0" fontId="38" fillId="4" borderId="23" xfId="0" applyFont="1" applyFill="1" applyBorder="1" applyAlignment="1">
      <alignment vertical="center"/>
    </xf>
    <xf numFmtId="0" fontId="37" fillId="4" borderId="23" xfId="0" applyFont="1" applyFill="1" applyBorder="1" applyAlignment="1">
      <alignment horizontal="right" vertical="center" wrapText="1"/>
    </xf>
    <xf numFmtId="181" fontId="37" fillId="4" borderId="23" xfId="0" applyNumberFormat="1" applyFont="1" applyFill="1" applyBorder="1" applyAlignment="1">
      <alignment horizontal="right" vertical="center" wrapText="1"/>
    </xf>
    <xf numFmtId="0" fontId="16" fillId="0" borderId="23" xfId="0" applyFont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8" fillId="0" borderId="23" xfId="0" applyFont="1" applyBorder="1" applyAlignment="1">
      <alignment vertical="center"/>
    </xf>
    <xf numFmtId="0" fontId="38" fillId="0" borderId="24" xfId="0" applyFont="1" applyBorder="1" applyAlignment="1">
      <alignment vertical="center"/>
    </xf>
    <xf numFmtId="0" fontId="37" fillId="0" borderId="23" xfId="0" applyFont="1" applyBorder="1" applyAlignment="1">
      <alignment horizontal="right" vertical="center" wrapText="1"/>
    </xf>
    <xf numFmtId="0" fontId="37" fillId="0" borderId="24" xfId="0" applyFont="1" applyBorder="1" applyAlignment="1">
      <alignment horizontal="right" vertical="center" wrapText="1"/>
    </xf>
    <xf numFmtId="181" fontId="37" fillId="0" borderId="23" xfId="0" applyNumberFormat="1" applyFont="1" applyBorder="1" applyAlignment="1">
      <alignment horizontal="right" vertical="center" wrapText="1"/>
    </xf>
    <xf numFmtId="181" fontId="37" fillId="0" borderId="2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82" fontId="37" fillId="0" borderId="23" xfId="0" applyNumberFormat="1" applyFont="1" applyBorder="1" applyAlignment="1">
      <alignment horizontal="right" vertical="center" wrapText="1"/>
    </xf>
    <xf numFmtId="0" fontId="37" fillId="0" borderId="22" xfId="0" applyFont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43" fontId="37" fillId="0" borderId="23" xfId="0" applyNumberFormat="1" applyFont="1" applyBorder="1" applyAlignment="1">
      <alignment horizontal="right" vertical="center" wrapText="1"/>
    </xf>
    <xf numFmtId="41" fontId="37" fillId="0" borderId="23" xfId="0" applyNumberFormat="1" applyFont="1" applyBorder="1" applyAlignment="1">
      <alignment horizontal="right" vertical="center" wrapText="1"/>
    </xf>
    <xf numFmtId="177" fontId="37" fillId="0" borderId="23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83" fontId="37" fillId="0" borderId="23" xfId="0" applyNumberFormat="1" applyFont="1" applyBorder="1" applyAlignment="1">
      <alignment horizontal="right" vertical="center" wrapText="1"/>
    </xf>
    <xf numFmtId="0" fontId="15" fillId="0" borderId="23" xfId="0" applyFont="1" applyBorder="1" applyAlignment="1">
      <alignment vertical="center"/>
    </xf>
    <xf numFmtId="0" fontId="37" fillId="0" borderId="25" xfId="0" applyFont="1" applyBorder="1" applyAlignment="1">
      <alignment horizontal="right" vertical="center" wrapText="1"/>
    </xf>
    <xf numFmtId="43" fontId="37" fillId="0" borderId="24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/>
    </xf>
    <xf numFmtId="0" fontId="42" fillId="0" borderId="0" xfId="0" applyFont="1" applyAlignment="1">
      <alignment horizontal="center" vertical="center" wrapText="1"/>
    </xf>
    <xf numFmtId="0" fontId="43" fillId="11" borderId="26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vertical="center" wrapText="1"/>
    </xf>
    <xf numFmtId="0" fontId="43" fillId="0" borderId="26" xfId="0" applyFont="1" applyBorder="1" applyAlignment="1">
      <alignment horizontal="center" vertical="center" wrapText="1"/>
    </xf>
    <xf numFmtId="184" fontId="43" fillId="0" borderId="26" xfId="0" applyNumberFormat="1" applyFont="1" applyBorder="1" applyAlignment="1">
      <alignment horizontal="right" vertical="center" wrapText="1"/>
    </xf>
    <xf numFmtId="184" fontId="43" fillId="0" borderId="26" xfId="0" applyNumberFormat="1" applyFont="1" applyBorder="1" applyAlignment="1">
      <alignment vertical="center" wrapText="1"/>
    </xf>
    <xf numFmtId="181" fontId="43" fillId="0" borderId="26" xfId="0" applyNumberFormat="1" applyFont="1" applyBorder="1" applyAlignment="1">
      <alignment horizontal="right" vertical="center" wrapText="1"/>
    </xf>
    <xf numFmtId="181" fontId="43" fillId="0" borderId="26" xfId="0" applyNumberFormat="1" applyFont="1" applyBorder="1" applyAlignment="1">
      <alignment vertical="center" wrapText="1"/>
    </xf>
    <xf numFmtId="182" fontId="43" fillId="0" borderId="26" xfId="0" applyNumberFormat="1" applyFont="1" applyBorder="1" applyAlignment="1">
      <alignment horizontal="right" vertical="center" wrapText="1"/>
    </xf>
    <xf numFmtId="0" fontId="43" fillId="0" borderId="26" xfId="0" applyFont="1" applyBorder="1" applyAlignment="1">
      <alignment horizontal="right" vertical="center" wrapText="1"/>
    </xf>
    <xf numFmtId="0" fontId="16" fillId="0" borderId="26" xfId="0" applyFont="1" applyBorder="1" applyAlignment="1">
      <alignment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right" vertical="center" wrapText="1"/>
    </xf>
    <xf numFmtId="184" fontId="16" fillId="0" borderId="26" xfId="0" applyNumberFormat="1" applyFont="1" applyBorder="1" applyAlignment="1">
      <alignment horizontal="right" vertical="center" wrapText="1"/>
    </xf>
    <xf numFmtId="184" fontId="16" fillId="0" borderId="26" xfId="0" applyNumberFormat="1" applyFont="1" applyBorder="1" applyAlignment="1">
      <alignment vertical="center" wrapText="1"/>
    </xf>
    <xf numFmtId="181" fontId="16" fillId="0" borderId="26" xfId="0" applyNumberFormat="1" applyFont="1" applyBorder="1" applyAlignment="1">
      <alignment horizontal="right" vertical="center" wrapText="1"/>
    </xf>
    <xf numFmtId="181" fontId="16" fillId="0" borderId="26" xfId="0" applyNumberFormat="1" applyFont="1" applyBorder="1" applyAlignment="1">
      <alignment vertical="center" wrapText="1"/>
    </xf>
    <xf numFmtId="0" fontId="16" fillId="0" borderId="26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32" fillId="0" borderId="26" xfId="0" applyFont="1" applyBorder="1" applyAlignment="1">
      <alignment horizontal="left" vertical="center" wrapText="1"/>
    </xf>
    <xf numFmtId="0" fontId="32" fillId="0" borderId="26" xfId="0" applyFont="1" applyBorder="1" applyAlignment="1">
      <alignment vertical="center"/>
    </xf>
    <xf numFmtId="0" fontId="32" fillId="0" borderId="26" xfId="0" applyFont="1" applyBorder="1" applyAlignment="1">
      <alignment horizontal="left" vertical="center"/>
    </xf>
    <xf numFmtId="0" fontId="45" fillId="0" borderId="26" xfId="0" applyFont="1" applyBorder="1" applyAlignment="1">
      <alignment vertical="center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D73434"/>
      </font>
      <fill>
        <patternFill patternType="solid">
          <bgColor rgb="FFFEC8CE"/>
        </patternFill>
      </fill>
    </dxf>
  </dxf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84.25\&#32463;&#27982;&#36816;&#34892;&#23460;&#26032;\1.&#32463;&#33829;&#35745;&#21010;\2024&#24180;&#32463;&#33829;&#35745;&#21010;\&#24180;&#24230;&#32463;&#33829;&#35745;&#21010;\&#27491;&#24335;&#19979;&#21457;\&#38468;&#34920;1&#65306;&#20061;&#27954;&#38598;&#22242;&#20108;&#12295;&#20108;&#22235;&#24180;&#32463;&#33829;&#25351;&#26631;&#35745;&#21010;&#65288;&#19979;&#21457;&#65289;-&#39044;&#31639;&#12289;&#39044;&#3574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年度经营计划、预算、预计"/>
      <sheetName val="十四五规划评估数据"/>
      <sheetName val="考核侧重点"/>
      <sheetName val="规模业务"/>
      <sheetName val="利息资本化-利差"/>
      <sheetName val="Sheet1"/>
      <sheetName val="十四五规划目标构成"/>
      <sheetName val="Sheet3"/>
      <sheetName val="Sheet2"/>
      <sheetName val="21-22年汇总数据"/>
      <sheetName val="2025年预测汇总数据"/>
    </sheetNames>
    <sheetDataSet>
      <sheetData sheetId="0">
        <row r="5">
          <cell r="B5" t="str">
            <v>公司名称</v>
          </cell>
          <cell r="C5" t="str">
            <v>BG</v>
          </cell>
          <cell r="D5" t="str">
            <v>五大板块</v>
          </cell>
          <cell r="E5" t="str">
            <v>报表</v>
          </cell>
          <cell r="F5" t="str">
            <v>计划</v>
          </cell>
          <cell r="G5" t="str">
            <v>营业收入</v>
          </cell>
        </row>
        <row r="6">
          <cell r="G6" t="str">
            <v>2021年</v>
          </cell>
          <cell r="H6" t="str">
            <v>2022年</v>
          </cell>
        </row>
        <row r="6">
          <cell r="K6" t="str">
            <v>2024年</v>
          </cell>
        </row>
        <row r="7">
          <cell r="K7" t="str">
            <v>2024年确保</v>
          </cell>
        </row>
        <row r="8">
          <cell r="I8" t="str">
            <v>2023年</v>
          </cell>
          <cell r="J8" t="str">
            <v>同比</v>
          </cell>
          <cell r="K8" t="str">
            <v>目标</v>
          </cell>
        </row>
        <row r="9">
          <cell r="G9">
            <v>3511613</v>
          </cell>
          <cell r="H9">
            <v>4058829</v>
          </cell>
          <cell r="I9">
            <v>4374737</v>
          </cell>
          <cell r="J9">
            <v>0.077832300892696</v>
          </cell>
          <cell r="K9">
            <v>4750000</v>
          </cell>
        </row>
        <row r="10">
          <cell r="B10" t="str">
            <v>合并层面抵销</v>
          </cell>
        </row>
        <row r="10">
          <cell r="G10">
            <v>-228016</v>
          </cell>
          <cell r="H10">
            <v>-273771</v>
          </cell>
          <cell r="I10">
            <v>-281445</v>
          </cell>
          <cell r="J10">
            <v>0.0280307264100288</v>
          </cell>
          <cell r="K10">
            <v>-419300</v>
          </cell>
        </row>
        <row r="11">
          <cell r="B11" t="str">
            <v>3家公司历史问题处置</v>
          </cell>
        </row>
        <row r="11">
          <cell r="G11" t="str">
            <v>-</v>
          </cell>
          <cell r="H11" t="str">
            <v>-</v>
          </cell>
          <cell r="I11" t="str">
            <v>-</v>
          </cell>
          <cell r="J11" t="str">
            <v>-</v>
          </cell>
          <cell r="K11" t="str">
            <v>-</v>
          </cell>
        </row>
        <row r="12">
          <cell r="B12" t="str">
            <v>香港控股减值等历史问题</v>
          </cell>
        </row>
        <row r="12">
          <cell r="I12" t="str">
            <v>-</v>
          </cell>
          <cell r="J12" t="str">
            <v>-</v>
          </cell>
          <cell r="K12" t="str">
            <v>-</v>
          </cell>
        </row>
        <row r="13">
          <cell r="B13" t="str">
            <v>深圳九洲光电减值等历史问题</v>
          </cell>
        </row>
        <row r="13">
          <cell r="I13" t="str">
            <v>-</v>
          </cell>
          <cell r="J13" t="str">
            <v>-</v>
          </cell>
          <cell r="K13" t="str">
            <v>-</v>
          </cell>
        </row>
        <row r="14">
          <cell r="B14" t="str">
            <v>成都九洲减值等历史问题</v>
          </cell>
        </row>
        <row r="14">
          <cell r="I14" t="str">
            <v>-</v>
          </cell>
          <cell r="J14" t="str">
            <v>-</v>
          </cell>
          <cell r="K14" t="str">
            <v>-</v>
          </cell>
        </row>
        <row r="15">
          <cell r="B15" t="str">
            <v>九洲线缆并购东强</v>
          </cell>
        </row>
        <row r="16">
          <cell r="B16" t="str">
            <v>集团本部</v>
          </cell>
        </row>
        <row r="16">
          <cell r="G16">
            <v>18683.137676</v>
          </cell>
          <cell r="H16">
            <v>33566.665507</v>
          </cell>
          <cell r="I16">
            <v>38277</v>
          </cell>
          <cell r="J16">
            <v>0.140327745453826</v>
          </cell>
          <cell r="K16">
            <v>37700</v>
          </cell>
        </row>
        <row r="17">
          <cell r="B17" t="str">
            <v>产业公司简单合计</v>
          </cell>
        </row>
        <row r="17">
          <cell r="F17" t="str">
            <v>计划</v>
          </cell>
          <cell r="G17">
            <v>3660444</v>
          </cell>
          <cell r="H17">
            <v>4253498</v>
          </cell>
          <cell r="I17">
            <v>4637011</v>
          </cell>
          <cell r="J17">
            <v>0.0901641425480864</v>
          </cell>
          <cell r="K17">
            <v>5142000</v>
          </cell>
        </row>
        <row r="18">
          <cell r="B18" t="str">
            <v>九洲电器（单体）</v>
          </cell>
          <cell r="C18" t="str">
            <v>军工BG</v>
          </cell>
          <cell r="D18" t="str">
            <v>军工电子</v>
          </cell>
          <cell r="E18" t="str">
            <v>报表</v>
          </cell>
          <cell r="F18" t="str">
            <v>计划</v>
          </cell>
          <cell r="G18">
            <v>477350</v>
          </cell>
          <cell r="H18">
            <v>531120</v>
          </cell>
          <cell r="I18">
            <v>507518</v>
          </cell>
          <cell r="J18">
            <v>-0.0444381683988553</v>
          </cell>
          <cell r="K18">
            <v>520000</v>
          </cell>
        </row>
        <row r="19">
          <cell r="B19" t="str">
            <v>其中：主业</v>
          </cell>
        </row>
        <row r="19">
          <cell r="G19">
            <v>305560</v>
          </cell>
          <cell r="H19">
            <v>334507</v>
          </cell>
          <cell r="I19">
            <v>382212</v>
          </cell>
          <cell r="J19">
            <v>0.142612860119519</v>
          </cell>
          <cell r="K19">
            <v>440000</v>
          </cell>
        </row>
        <row r="20">
          <cell r="B20" t="str">
            <v>     规模</v>
          </cell>
        </row>
        <row r="20">
          <cell r="G20">
            <v>171790</v>
          </cell>
          <cell r="H20">
            <v>196613</v>
          </cell>
          <cell r="I20">
            <v>125306</v>
          </cell>
          <cell r="J20">
            <v>-0.362676933875176</v>
          </cell>
          <cell r="K20">
            <v>80000</v>
          </cell>
        </row>
        <row r="21">
          <cell r="B21" t="str">
            <v>志良电子</v>
          </cell>
          <cell r="C21" t="str">
            <v>军工BG</v>
          </cell>
          <cell r="D21" t="str">
            <v>军工电子</v>
          </cell>
          <cell r="E21" t="str">
            <v>报表</v>
          </cell>
          <cell r="F21" t="str">
            <v>计划</v>
          </cell>
          <cell r="G21">
            <v>12237</v>
          </cell>
          <cell r="H21">
            <v>19299</v>
          </cell>
          <cell r="I21">
            <v>21739</v>
          </cell>
          <cell r="J21">
            <v>0.126431421317167</v>
          </cell>
          <cell r="K21">
            <v>34000</v>
          </cell>
        </row>
        <row r="22">
          <cell r="B22" t="str">
            <v>九强通信</v>
          </cell>
          <cell r="C22" t="str">
            <v>军工BG</v>
          </cell>
          <cell r="D22" t="str">
            <v>军工电子</v>
          </cell>
          <cell r="E22" t="str">
            <v>报表</v>
          </cell>
          <cell r="F22" t="str">
            <v>计划</v>
          </cell>
          <cell r="G22">
            <v>82423</v>
          </cell>
          <cell r="H22">
            <v>67035</v>
          </cell>
          <cell r="I22">
            <v>57598</v>
          </cell>
          <cell r="J22">
            <v>-0.140777205937197</v>
          </cell>
          <cell r="K22">
            <v>60000</v>
          </cell>
        </row>
        <row r="23">
          <cell r="B23" t="str">
            <v>其中：主业</v>
          </cell>
        </row>
        <row r="23">
          <cell r="G23">
            <v>20423</v>
          </cell>
          <cell r="H23">
            <v>43012</v>
          </cell>
          <cell r="I23">
            <v>34999</v>
          </cell>
          <cell r="J23">
            <v>-0.186296847391426</v>
          </cell>
          <cell r="K23">
            <v>40000</v>
          </cell>
        </row>
        <row r="24">
          <cell r="B24" t="str">
            <v>       规模</v>
          </cell>
        </row>
        <row r="24">
          <cell r="G24">
            <v>62000</v>
          </cell>
          <cell r="H24">
            <v>24023</v>
          </cell>
          <cell r="I24">
            <v>22599</v>
          </cell>
          <cell r="J24">
            <v>-0.0592765266619489</v>
          </cell>
          <cell r="K24">
            <v>20000</v>
          </cell>
        </row>
        <row r="25">
          <cell r="B25" t="str">
            <v>九洲运输</v>
          </cell>
          <cell r="C25" t="str">
            <v>军工BG</v>
          </cell>
        </row>
        <row r="25">
          <cell r="E25" t="str">
            <v>报表</v>
          </cell>
          <cell r="F25" t="str">
            <v>计划</v>
          </cell>
          <cell r="G25">
            <v>3236</v>
          </cell>
          <cell r="H25">
            <v>4738</v>
          </cell>
          <cell r="I25">
            <v>5815</v>
          </cell>
          <cell r="J25">
            <v>0.227311101730688</v>
          </cell>
          <cell r="K25">
            <v>5000</v>
          </cell>
        </row>
        <row r="26">
          <cell r="B26" t="str">
            <v>九洲空管</v>
          </cell>
          <cell r="C26" t="str">
            <v>军工BG</v>
          </cell>
          <cell r="D26" t="str">
            <v>军工电子</v>
          </cell>
          <cell r="E26" t="str">
            <v>报表</v>
          </cell>
          <cell r="F26" t="str">
            <v>计划</v>
          </cell>
          <cell r="G26">
            <v>85565</v>
          </cell>
          <cell r="H26">
            <v>100072</v>
          </cell>
          <cell r="I26">
            <v>111386</v>
          </cell>
          <cell r="J26">
            <v>0.113058597809577</v>
          </cell>
          <cell r="K26">
            <v>111000</v>
          </cell>
        </row>
        <row r="27">
          <cell r="B27" t="str">
            <v>九洲迪飞</v>
          </cell>
          <cell r="C27" t="str">
            <v>军工BG</v>
          </cell>
          <cell r="D27" t="str">
            <v>军工电子</v>
          </cell>
          <cell r="E27" t="str">
            <v>报表</v>
          </cell>
          <cell r="F27" t="str">
            <v>计划</v>
          </cell>
          <cell r="G27">
            <v>27214</v>
          </cell>
          <cell r="H27">
            <v>31924</v>
          </cell>
          <cell r="I27">
            <v>39359</v>
          </cell>
          <cell r="J27">
            <v>0.232896880090214</v>
          </cell>
          <cell r="K27">
            <v>45000</v>
          </cell>
        </row>
        <row r="28">
          <cell r="B28" t="str">
            <v>九洲防控</v>
          </cell>
          <cell r="C28" t="str">
            <v>军工BG</v>
          </cell>
          <cell r="D28" t="str">
            <v>军工电子</v>
          </cell>
          <cell r="E28" t="str">
            <v>报表</v>
          </cell>
          <cell r="F28" t="str">
            <v>计划</v>
          </cell>
          <cell r="G28">
            <v>16061</v>
          </cell>
          <cell r="H28">
            <v>18514</v>
          </cell>
          <cell r="I28">
            <v>21393</v>
          </cell>
          <cell r="J28">
            <v>0.155503942962083</v>
          </cell>
          <cell r="K28">
            <v>27000</v>
          </cell>
        </row>
        <row r="29">
          <cell r="B29" t="str">
            <v>九洲星熠</v>
          </cell>
          <cell r="C29" t="str">
            <v>导航BG</v>
          </cell>
          <cell r="D29" t="str">
            <v>军工电子</v>
          </cell>
          <cell r="E29" t="str">
            <v>报表</v>
          </cell>
          <cell r="F29" t="str">
            <v>计划</v>
          </cell>
          <cell r="G29">
            <v>9549</v>
          </cell>
          <cell r="H29">
            <v>8080</v>
          </cell>
          <cell r="I29">
            <v>20720</v>
          </cell>
          <cell r="J29">
            <v>1.56435643564356</v>
          </cell>
          <cell r="K29">
            <v>26000</v>
          </cell>
        </row>
        <row r="30">
          <cell r="B30" t="str">
            <v>长九光电</v>
          </cell>
          <cell r="C30" t="str">
            <v>军工BG</v>
          </cell>
          <cell r="D30" t="str">
            <v>军工电子</v>
          </cell>
          <cell r="E30" t="str">
            <v>报表</v>
          </cell>
          <cell r="F30" t="str">
            <v>计划</v>
          </cell>
          <cell r="G30">
            <v>0</v>
          </cell>
          <cell r="H30">
            <v>0</v>
          </cell>
          <cell r="I30">
            <v>0</v>
          </cell>
          <cell r="J30" t="str">
            <v>-</v>
          </cell>
          <cell r="K30">
            <v>2300</v>
          </cell>
        </row>
        <row r="31">
          <cell r="B31" t="str">
            <v>九州科技（合并）</v>
          </cell>
        </row>
        <row r="31">
          <cell r="F31" t="str">
            <v>计划</v>
          </cell>
          <cell r="G31">
            <v>190094</v>
          </cell>
          <cell r="H31">
            <v>209689</v>
          </cell>
          <cell r="I31">
            <v>258714</v>
          </cell>
          <cell r="J31">
            <v>0.233798625583602</v>
          </cell>
          <cell r="K31">
            <v>350000</v>
          </cell>
        </row>
        <row r="32">
          <cell r="B32" t="str">
            <v>九州科技（单体）</v>
          </cell>
          <cell r="C32" t="str">
            <v>多媒体BG</v>
          </cell>
          <cell r="D32" t="str">
            <v>通信与智能终端</v>
          </cell>
          <cell r="E32" t="str">
            <v>报表</v>
          </cell>
        </row>
        <row r="32">
          <cell r="G32">
            <v>145391</v>
          </cell>
          <cell r="H32">
            <v>156590</v>
          </cell>
          <cell r="I32">
            <v>183546</v>
          </cell>
          <cell r="J32">
            <v>0.172143815058433</v>
          </cell>
          <cell r="K32">
            <v>250000</v>
          </cell>
        </row>
        <row r="33">
          <cell r="B33" t="str">
            <v>深九电器（主业）</v>
          </cell>
        </row>
        <row r="33">
          <cell r="D33" t="str">
            <v>通信与智能终端</v>
          </cell>
        </row>
        <row r="33">
          <cell r="G33">
            <v>44703</v>
          </cell>
          <cell r="H33">
            <v>53099</v>
          </cell>
          <cell r="I33">
            <v>75168</v>
          </cell>
          <cell r="J33">
            <v>0.415619879847078</v>
          </cell>
          <cell r="K33">
            <v>106000</v>
          </cell>
        </row>
        <row r="34">
          <cell r="B34" t="str">
            <v>深九电器（整体）</v>
          </cell>
          <cell r="C34" t="str">
            <v>多媒体BG</v>
          </cell>
        </row>
        <row r="34">
          <cell r="E34" t="str">
            <v>报表</v>
          </cell>
        </row>
        <row r="34">
          <cell r="G34">
            <v>109026</v>
          </cell>
          <cell r="H34">
            <v>124148</v>
          </cell>
          <cell r="I34">
            <v>87701</v>
          </cell>
          <cell r="J34">
            <v>-0.293577020974965</v>
          </cell>
          <cell r="K34">
            <v>109600</v>
          </cell>
        </row>
        <row r="35">
          <cell r="B35" t="str">
            <v>深九电器（贸易）</v>
          </cell>
        </row>
        <row r="35">
          <cell r="D35" t="str">
            <v>通信与智能终端</v>
          </cell>
        </row>
        <row r="35">
          <cell r="G35">
            <v>60748</v>
          </cell>
          <cell r="H35">
            <v>66963</v>
          </cell>
          <cell r="I35">
            <v>9177</v>
          </cell>
          <cell r="J35">
            <v>-0.862954168720039</v>
          </cell>
          <cell r="K35">
            <v>0</v>
          </cell>
        </row>
        <row r="36">
          <cell r="B36" t="str">
            <v>九洲智造</v>
          </cell>
        </row>
        <row r="36">
          <cell r="D36" t="str">
            <v>汽车电子与装备</v>
          </cell>
          <cell r="E36" t="str">
            <v>报表</v>
          </cell>
          <cell r="F36" t="str">
            <v>计划</v>
          </cell>
          <cell r="G36">
            <v>0</v>
          </cell>
          <cell r="H36">
            <v>0</v>
          </cell>
          <cell r="I36">
            <v>0</v>
          </cell>
          <cell r="J36" t="str">
            <v>-</v>
          </cell>
          <cell r="K36">
            <v>10000</v>
          </cell>
        </row>
        <row r="37">
          <cell r="B37" t="str">
            <v>湖山电器（合并）</v>
          </cell>
        </row>
        <row r="37">
          <cell r="F37" t="str">
            <v>计划</v>
          </cell>
          <cell r="G37">
            <v>66264</v>
          </cell>
          <cell r="H37">
            <v>63528</v>
          </cell>
          <cell r="I37">
            <v>58296</v>
          </cell>
          <cell r="J37">
            <v>-0.0823573857196827</v>
          </cell>
          <cell r="K37">
            <v>79000</v>
          </cell>
        </row>
        <row r="38">
          <cell r="B38" t="str">
            <v>湖山电器（单体）</v>
          </cell>
          <cell r="C38" t="str">
            <v>多媒体BG</v>
          </cell>
          <cell r="D38" t="str">
            <v>通信与智能终端</v>
          </cell>
          <cell r="E38" t="str">
            <v>报表</v>
          </cell>
        </row>
        <row r="38">
          <cell r="G38">
            <v>50073</v>
          </cell>
          <cell r="H38">
            <v>45301</v>
          </cell>
          <cell r="I38">
            <v>43780</v>
          </cell>
          <cell r="J38">
            <v>-0.0335754177611973</v>
          </cell>
          <cell r="K38">
            <v>54000</v>
          </cell>
        </row>
        <row r="39">
          <cell r="B39" t="str">
            <v>深圳九洲光电</v>
          </cell>
        </row>
        <row r="39">
          <cell r="E39" t="str">
            <v>经营</v>
          </cell>
        </row>
        <row r="39">
          <cell r="G39">
            <v>16191</v>
          </cell>
          <cell r="H39">
            <v>18227</v>
          </cell>
          <cell r="I39">
            <v>14516</v>
          </cell>
          <cell r="J39">
            <v>-0.203599056344983</v>
          </cell>
          <cell r="K39">
            <v>25000</v>
          </cell>
        </row>
        <row r="40">
          <cell r="B40" t="str">
            <v>深圳九洲光电</v>
          </cell>
          <cell r="C40" t="str">
            <v>导航BG</v>
          </cell>
          <cell r="D40" t="str">
            <v>通信与智能终端</v>
          </cell>
          <cell r="E40" t="str">
            <v>报表</v>
          </cell>
        </row>
        <row r="40">
          <cell r="G40">
            <v>16191</v>
          </cell>
          <cell r="H40">
            <v>18227</v>
          </cell>
          <cell r="I40">
            <v>14516</v>
          </cell>
          <cell r="J40">
            <v>-0.203599056344983</v>
          </cell>
          <cell r="K40">
            <v>25000</v>
          </cell>
        </row>
        <row r="41">
          <cell r="B41" t="str">
            <v>九州光电子</v>
          </cell>
          <cell r="C41" t="str">
            <v>多媒体BG</v>
          </cell>
          <cell r="D41" t="str">
            <v>高端元器件</v>
          </cell>
          <cell r="E41" t="str">
            <v>报表</v>
          </cell>
          <cell r="F41" t="str">
            <v>计划</v>
          </cell>
          <cell r="G41">
            <v>71757</v>
          </cell>
          <cell r="H41">
            <v>83555</v>
          </cell>
          <cell r="I41">
            <v>74672</v>
          </cell>
          <cell r="J41">
            <v>-0.106313206869727</v>
          </cell>
          <cell r="K41">
            <v>100000</v>
          </cell>
        </row>
        <row r="42">
          <cell r="B42" t="str">
            <v>四川九洲光电</v>
          </cell>
          <cell r="C42" t="str">
            <v>导航BG</v>
          </cell>
          <cell r="D42" t="str">
            <v>通信与智能终端</v>
          </cell>
          <cell r="E42" t="str">
            <v>报表</v>
          </cell>
          <cell r="F42" t="str">
            <v>计划</v>
          </cell>
          <cell r="G42">
            <v>17262</v>
          </cell>
          <cell r="H42">
            <v>21970</v>
          </cell>
          <cell r="I42">
            <v>16754</v>
          </cell>
          <cell r="J42">
            <v>-0.237414656349568</v>
          </cell>
          <cell r="K42">
            <v>30000</v>
          </cell>
        </row>
        <row r="43">
          <cell r="B43" t="str">
            <v>四川科瑞</v>
          </cell>
          <cell r="C43" t="str">
            <v>软智BG</v>
          </cell>
          <cell r="D43" t="str">
            <v>软件与数据智能</v>
          </cell>
          <cell r="E43" t="str">
            <v>报表</v>
          </cell>
          <cell r="F43" t="str">
            <v>计划</v>
          </cell>
          <cell r="G43">
            <v>379396</v>
          </cell>
          <cell r="H43">
            <v>367513</v>
          </cell>
          <cell r="I43">
            <v>463863</v>
          </cell>
          <cell r="J43">
            <v>0.262167596792494</v>
          </cell>
          <cell r="K43">
            <v>670000</v>
          </cell>
        </row>
        <row r="44">
          <cell r="B44" t="str">
            <v>四川科瑞-平台业务</v>
          </cell>
        </row>
        <row r="44">
          <cell r="G44">
            <v>203986</v>
          </cell>
          <cell r="H44">
            <v>91998</v>
          </cell>
          <cell r="I44">
            <v>125124</v>
          </cell>
        </row>
        <row r="45">
          <cell r="B45" t="str">
            <v>九洲软件（合并）</v>
          </cell>
        </row>
        <row r="45">
          <cell r="F45" t="str">
            <v>计划</v>
          </cell>
          <cell r="G45">
            <v>51234</v>
          </cell>
          <cell r="H45">
            <v>67787</v>
          </cell>
          <cell r="I45">
            <v>81790</v>
          </cell>
          <cell r="J45">
            <v>0.206573531798132</v>
          </cell>
          <cell r="K45">
            <v>110000</v>
          </cell>
        </row>
        <row r="46">
          <cell r="B46" t="str">
            <v>九洲软件</v>
          </cell>
          <cell r="C46" t="str">
            <v>软智BG</v>
          </cell>
          <cell r="D46" t="str">
            <v>软件与数据智能</v>
          </cell>
          <cell r="E46" t="str">
            <v>报表</v>
          </cell>
        </row>
        <row r="46">
          <cell r="G46">
            <v>0</v>
          </cell>
          <cell r="H46">
            <v>281</v>
          </cell>
          <cell r="I46">
            <v>5158</v>
          </cell>
          <cell r="J46">
            <v>17.355871886121</v>
          </cell>
          <cell r="K46">
            <v>10000</v>
          </cell>
        </row>
        <row r="47">
          <cell r="B47" t="str">
            <v>成都九洲（不含规模）</v>
          </cell>
        </row>
        <row r="47">
          <cell r="E47" t="str">
            <v>经营</v>
          </cell>
        </row>
        <row r="47">
          <cell r="G47">
            <v>11643</v>
          </cell>
          <cell r="H47">
            <v>18717</v>
          </cell>
          <cell r="I47">
            <v>21579</v>
          </cell>
          <cell r="J47">
            <v>0.15290912005129</v>
          </cell>
          <cell r="K47">
            <v>28600</v>
          </cell>
        </row>
        <row r="48">
          <cell r="B48" t="str">
            <v>成都九洲整体</v>
          </cell>
          <cell r="C48" t="str">
            <v>软智BG</v>
          </cell>
          <cell r="D48" t="str">
            <v>软件与数据智能</v>
          </cell>
          <cell r="E48" t="str">
            <v>报表</v>
          </cell>
        </row>
        <row r="48">
          <cell r="G48">
            <v>30080</v>
          </cell>
          <cell r="H48">
            <v>30856</v>
          </cell>
          <cell r="I48">
            <v>31573</v>
          </cell>
          <cell r="J48">
            <v>0.0232369717396941</v>
          </cell>
          <cell r="K48">
            <v>28600</v>
          </cell>
        </row>
        <row r="49">
          <cell r="B49" t="str">
            <v>其中：主业</v>
          </cell>
        </row>
        <row r="49">
          <cell r="G49">
            <v>11142</v>
          </cell>
          <cell r="H49">
            <v>18076</v>
          </cell>
          <cell r="I49">
            <v>20977</v>
          </cell>
          <cell r="J49">
            <v>0.16048904624917</v>
          </cell>
          <cell r="K49">
            <v>28000</v>
          </cell>
        </row>
        <row r="50">
          <cell r="B50" t="str">
            <v>       房租</v>
          </cell>
        </row>
        <row r="50">
          <cell r="G50">
            <v>501</v>
          </cell>
          <cell r="H50">
            <v>641</v>
          </cell>
          <cell r="I50">
            <v>602</v>
          </cell>
          <cell r="J50">
            <v>-0.0608424336973479</v>
          </cell>
          <cell r="K50">
            <v>600</v>
          </cell>
        </row>
        <row r="51">
          <cell r="B51" t="str">
            <v>       规模</v>
          </cell>
        </row>
        <row r="51">
          <cell r="G51">
            <v>18437</v>
          </cell>
          <cell r="H51">
            <v>12139</v>
          </cell>
          <cell r="I51">
            <v>9994</v>
          </cell>
          <cell r="J51">
            <v>-0.176703188071505</v>
          </cell>
          <cell r="K51">
            <v>0</v>
          </cell>
        </row>
        <row r="52">
          <cell r="B52" t="str">
            <v>九洲视讯</v>
          </cell>
          <cell r="C52" t="str">
            <v>软智BG</v>
          </cell>
          <cell r="D52" t="str">
            <v>软件与数据智能</v>
          </cell>
          <cell r="E52" t="str">
            <v>报表</v>
          </cell>
        </row>
        <row r="52">
          <cell r="G52">
            <v>22429</v>
          </cell>
          <cell r="H52">
            <v>25941</v>
          </cell>
          <cell r="I52">
            <v>30996</v>
          </cell>
          <cell r="J52">
            <v>0.194865271192321</v>
          </cell>
          <cell r="K52">
            <v>37000</v>
          </cell>
        </row>
        <row r="53">
          <cell r="B53" t="str">
            <v>九洲北斗位置</v>
          </cell>
          <cell r="C53" t="str">
            <v>导航BG</v>
          </cell>
          <cell r="D53" t="str">
            <v>软件与数据智能</v>
          </cell>
          <cell r="E53" t="str">
            <v>报表</v>
          </cell>
        </row>
        <row r="53">
          <cell r="G53">
            <v>17162</v>
          </cell>
          <cell r="H53">
            <v>22848</v>
          </cell>
          <cell r="I53">
            <v>24057</v>
          </cell>
          <cell r="J53">
            <v>0.0529149159663866</v>
          </cell>
          <cell r="K53">
            <v>35000</v>
          </cell>
        </row>
        <row r="54">
          <cell r="B54" t="str">
            <v>依顿电子</v>
          </cell>
          <cell r="C54" t="str">
            <v>直属BU</v>
          </cell>
          <cell r="D54" t="str">
            <v>高端元器件</v>
          </cell>
          <cell r="E54" t="str">
            <v>报表</v>
          </cell>
          <cell r="F54" t="str">
            <v>计划</v>
          </cell>
          <cell r="G54">
            <v>0</v>
          </cell>
          <cell r="H54">
            <v>305815</v>
          </cell>
          <cell r="I54">
            <v>317733</v>
          </cell>
          <cell r="J54">
            <v>0.0389712734823342</v>
          </cell>
          <cell r="K54">
            <v>350000</v>
          </cell>
        </row>
        <row r="55">
          <cell r="B55" t="str">
            <v>微精电机</v>
          </cell>
          <cell r="C55" t="str">
            <v>军工BG</v>
          </cell>
          <cell r="D55" t="str">
            <v>高端元器件</v>
          </cell>
          <cell r="E55" t="str">
            <v>报表</v>
          </cell>
          <cell r="F55" t="str">
            <v>计划</v>
          </cell>
          <cell r="G55">
            <v>10214</v>
          </cell>
          <cell r="H55">
            <v>11596</v>
          </cell>
          <cell r="I55">
            <v>18008</v>
          </cell>
          <cell r="J55">
            <v>0.552949292859607</v>
          </cell>
          <cell r="K55">
            <v>23000</v>
          </cell>
        </row>
        <row r="56">
          <cell r="B56" t="str">
            <v>九洲线缆</v>
          </cell>
          <cell r="C56" t="str">
            <v>直属BU</v>
          </cell>
          <cell r="D56" t="str">
            <v>高端元器件</v>
          </cell>
          <cell r="E56" t="str">
            <v>报表</v>
          </cell>
          <cell r="F56" t="str">
            <v>计划</v>
          </cell>
          <cell r="G56">
            <v>485339</v>
          </cell>
          <cell r="H56">
            <v>398544</v>
          </cell>
          <cell r="I56">
            <v>491718</v>
          </cell>
          <cell r="J56">
            <v>0.233785980970733</v>
          </cell>
          <cell r="K56">
            <v>560000</v>
          </cell>
        </row>
        <row r="57">
          <cell r="B57" t="str">
            <v>其中：主业</v>
          </cell>
        </row>
        <row r="57">
          <cell r="G57">
            <v>105000</v>
          </cell>
          <cell r="H57">
            <v>121000</v>
          </cell>
          <cell r="I57">
            <v>141011</v>
          </cell>
          <cell r="J57">
            <v>0.165380165289256</v>
          </cell>
          <cell r="K57">
            <v>210000</v>
          </cell>
        </row>
        <row r="58">
          <cell r="B58" t="str">
            <v>       并购</v>
          </cell>
        </row>
        <row r="58">
          <cell r="G58">
            <v>0</v>
          </cell>
          <cell r="H58">
            <v>0</v>
          </cell>
          <cell r="I58">
            <v>0</v>
          </cell>
          <cell r="J58" t="str">
            <v>-</v>
          </cell>
          <cell r="K58">
            <v>140000</v>
          </cell>
        </row>
        <row r="59">
          <cell r="B59" t="str">
            <v>       规模</v>
          </cell>
        </row>
        <row r="59">
          <cell r="G59">
            <v>380339</v>
          </cell>
          <cell r="H59">
            <v>277544</v>
          </cell>
          <cell r="I59">
            <v>350707</v>
          </cell>
          <cell r="J59">
            <v>0.2636086530424</v>
          </cell>
          <cell r="K59">
            <v>210000</v>
          </cell>
        </row>
        <row r="60">
          <cell r="B60" t="str">
            <v>安和精密</v>
          </cell>
          <cell r="C60" t="str">
            <v>直属BU</v>
          </cell>
          <cell r="D60" t="str">
            <v>高端元器件</v>
          </cell>
          <cell r="E60" t="str">
            <v>报表</v>
          </cell>
          <cell r="F60" t="str">
            <v>计划</v>
          </cell>
          <cell r="G60">
            <v>61679</v>
          </cell>
          <cell r="H60">
            <v>38072</v>
          </cell>
          <cell r="I60">
            <v>32368</v>
          </cell>
          <cell r="J60">
            <v>-0.14982139104854</v>
          </cell>
          <cell r="K60">
            <v>50000</v>
          </cell>
        </row>
        <row r="61">
          <cell r="B61" t="str">
            <v>九洲隆瓴</v>
          </cell>
          <cell r="C61" t="str">
            <v>导航BG</v>
          </cell>
          <cell r="D61" t="str">
            <v>汽车电子与装备</v>
          </cell>
          <cell r="E61" t="str">
            <v>报表</v>
          </cell>
          <cell r="F61" t="str">
            <v>计划</v>
          </cell>
          <cell r="G61">
            <v>1008</v>
          </cell>
          <cell r="H61">
            <v>7160</v>
          </cell>
          <cell r="I61">
            <v>14372</v>
          </cell>
          <cell r="J61">
            <v>1.0072625698324</v>
          </cell>
          <cell r="K61">
            <v>20000</v>
          </cell>
        </row>
        <row r="62">
          <cell r="B62" t="str">
            <v>中油九洲北斗</v>
          </cell>
          <cell r="C62" t="str">
            <v>导航BG</v>
          </cell>
          <cell r="D62" t="str">
            <v>其他业务</v>
          </cell>
          <cell r="E62" t="str">
            <v>报表</v>
          </cell>
          <cell r="F62" t="str">
            <v>计划</v>
          </cell>
          <cell r="G62">
            <v>1120850</v>
          </cell>
          <cell r="H62">
            <v>1340869</v>
          </cell>
          <cell r="I62">
            <v>1055096</v>
          </cell>
          <cell r="J62">
            <v>-0.213125219540462</v>
          </cell>
          <cell r="K62">
            <v>1000000</v>
          </cell>
        </row>
        <row r="63">
          <cell r="B63" t="str">
            <v>九洲聚力</v>
          </cell>
          <cell r="C63" t="str">
            <v>导航BG</v>
          </cell>
          <cell r="D63" t="str">
            <v>其他业务</v>
          </cell>
          <cell r="E63" t="str">
            <v>报表</v>
          </cell>
          <cell r="F63" t="str">
            <v>计划</v>
          </cell>
          <cell r="G63">
            <v>0</v>
          </cell>
          <cell r="H63">
            <v>0</v>
          </cell>
          <cell r="I63">
            <v>323477</v>
          </cell>
          <cell r="J63" t="str">
            <v>-</v>
          </cell>
          <cell r="K63">
            <v>400000</v>
          </cell>
        </row>
        <row r="64">
          <cell r="B64" t="str">
            <v>香港控股</v>
          </cell>
        </row>
        <row r="64">
          <cell r="E64" t="str">
            <v>经营</v>
          </cell>
          <cell r="F64" t="str">
            <v>计划</v>
          </cell>
          <cell r="G64">
            <v>99099</v>
          </cell>
          <cell r="H64">
            <v>94951</v>
          </cell>
          <cell r="I64">
            <v>154032</v>
          </cell>
          <cell r="J64">
            <v>0.622226200882561</v>
          </cell>
          <cell r="K64">
            <v>120000</v>
          </cell>
        </row>
        <row r="65">
          <cell r="B65" t="str">
            <v>香港控股</v>
          </cell>
          <cell r="C65" t="str">
            <v>职能型业务</v>
          </cell>
          <cell r="D65" t="str">
            <v>职能型业务</v>
          </cell>
          <cell r="E65" t="str">
            <v>报表</v>
          </cell>
        </row>
        <row r="65">
          <cell r="G65">
            <v>99099</v>
          </cell>
          <cell r="H65">
            <v>94951</v>
          </cell>
          <cell r="I65">
            <v>154032</v>
          </cell>
          <cell r="J65">
            <v>0.622226200882561</v>
          </cell>
          <cell r="K65">
            <v>120000</v>
          </cell>
        </row>
        <row r="66">
          <cell r="B66" t="str">
            <v>其中：规模</v>
          </cell>
        </row>
        <row r="66">
          <cell r="G66">
            <v>22800</v>
          </cell>
          <cell r="H66">
            <v>43987</v>
          </cell>
          <cell r="I66">
            <v>67580</v>
          </cell>
          <cell r="J66">
            <v>0.536363016345738</v>
          </cell>
        </row>
        <row r="67">
          <cell r="B67" t="str">
            <v>九洲千城</v>
          </cell>
          <cell r="C67" t="str">
            <v>直属BU</v>
          </cell>
          <cell r="D67" t="str">
            <v>其他业务</v>
          </cell>
          <cell r="E67" t="str">
            <v>报表</v>
          </cell>
          <cell r="F67" t="str">
            <v>计划</v>
          </cell>
          <cell r="G67">
            <v>245331</v>
          </cell>
          <cell r="H67">
            <v>272528</v>
          </cell>
          <cell r="I67">
            <v>280850</v>
          </cell>
          <cell r="J67">
            <v>0.0305363118652029</v>
          </cell>
          <cell r="K67">
            <v>220000</v>
          </cell>
        </row>
        <row r="68">
          <cell r="B68" t="str">
            <v>九洲建工</v>
          </cell>
          <cell r="C68" t="str">
            <v>直属BU</v>
          </cell>
          <cell r="D68" t="str">
            <v>其他业务</v>
          </cell>
          <cell r="E68" t="str">
            <v>报表</v>
          </cell>
          <cell r="F68" t="str">
            <v>计划</v>
          </cell>
          <cell r="G68">
            <v>76565</v>
          </cell>
          <cell r="H68">
            <v>122380</v>
          </cell>
          <cell r="I68">
            <v>142336</v>
          </cell>
          <cell r="J68">
            <v>0.163065860434711</v>
          </cell>
          <cell r="K68">
            <v>164000</v>
          </cell>
        </row>
        <row r="69">
          <cell r="B69" t="str">
            <v>九洲智和</v>
          </cell>
          <cell r="C69" t="str">
            <v>职能型业务</v>
          </cell>
          <cell r="D69" t="str">
            <v>职能型业务</v>
          </cell>
          <cell r="E69" t="str">
            <v>报表</v>
          </cell>
          <cell r="F69" t="str">
            <v>计划</v>
          </cell>
          <cell r="G69">
            <v>19569</v>
          </cell>
          <cell r="H69">
            <v>15423</v>
          </cell>
          <cell r="I69">
            <v>8502</v>
          </cell>
          <cell r="J69">
            <v>-0.448745380276211</v>
          </cell>
          <cell r="K69">
            <v>15000</v>
          </cell>
        </row>
        <row r="70">
          <cell r="B70" t="str">
            <v>福瑞祥电器</v>
          </cell>
        </row>
        <row r="70">
          <cell r="E70" t="str">
            <v>报表</v>
          </cell>
          <cell r="F70" t="str">
            <v>计划</v>
          </cell>
          <cell r="G70">
            <v>18134</v>
          </cell>
          <cell r="H70">
            <v>14038</v>
          </cell>
          <cell r="I70">
            <v>12196</v>
          </cell>
          <cell r="J70">
            <v>-0.131215272830888</v>
          </cell>
          <cell r="K70">
            <v>0</v>
          </cell>
        </row>
        <row r="71">
          <cell r="B71" t="str">
            <v>环保科技</v>
          </cell>
          <cell r="C71" t="str">
            <v>职能型业务</v>
          </cell>
          <cell r="D71" t="str">
            <v>其他业务</v>
          </cell>
          <cell r="E71" t="str">
            <v>报表</v>
          </cell>
          <cell r="F71" t="str">
            <v>计划</v>
          </cell>
          <cell r="G71">
            <v>3222</v>
          </cell>
          <cell r="H71">
            <v>4169</v>
          </cell>
          <cell r="I71">
            <v>4213</v>
          </cell>
          <cell r="J71">
            <v>0.0105540897097625</v>
          </cell>
          <cell r="K71">
            <v>5600</v>
          </cell>
        </row>
        <row r="72">
          <cell r="B72" t="str">
            <v>九洲教投</v>
          </cell>
          <cell r="C72" t="str">
            <v>职能型业务</v>
          </cell>
          <cell r="D72" t="str">
            <v>职能型业务</v>
          </cell>
          <cell r="E72" t="str">
            <v>报表</v>
          </cell>
          <cell r="F72" t="str">
            <v>计划</v>
          </cell>
          <cell r="G72">
            <v>7401</v>
          </cell>
          <cell r="H72">
            <v>9582</v>
          </cell>
          <cell r="I72">
            <v>16298</v>
          </cell>
          <cell r="J72">
            <v>0.700897516176164</v>
          </cell>
          <cell r="K72">
            <v>10000</v>
          </cell>
        </row>
        <row r="73">
          <cell r="B73" t="str">
            <v>九洲保代</v>
          </cell>
          <cell r="C73" t="str">
            <v>职能型业务</v>
          </cell>
          <cell r="D73" t="str">
            <v>职能型业务</v>
          </cell>
          <cell r="E73" t="str">
            <v>报表</v>
          </cell>
          <cell r="F73" t="str">
            <v>计划</v>
          </cell>
          <cell r="G73">
            <v>2385</v>
          </cell>
          <cell r="H73">
            <v>2176</v>
          </cell>
          <cell r="I73">
            <v>2554</v>
          </cell>
          <cell r="J73">
            <v>0.173713235294118</v>
          </cell>
          <cell r="K73">
            <v>3000</v>
          </cell>
        </row>
        <row r="74">
          <cell r="B74" t="str">
            <v>智慧城市</v>
          </cell>
        </row>
        <row r="74">
          <cell r="E74" t="str">
            <v>报表</v>
          </cell>
          <cell r="F74" t="str">
            <v>计划</v>
          </cell>
          <cell r="G74">
            <v>3562</v>
          </cell>
          <cell r="H74">
            <v>3475</v>
          </cell>
          <cell r="I74">
            <v>6057</v>
          </cell>
          <cell r="J74">
            <v>0.743021582733813</v>
          </cell>
          <cell r="K74">
            <v>5000</v>
          </cell>
        </row>
        <row r="75">
          <cell r="B75" t="str">
            <v>深圳九洲光电子</v>
          </cell>
          <cell r="C75" t="str">
            <v>职能型业务</v>
          </cell>
          <cell r="D75" t="str">
            <v>职能型业务</v>
          </cell>
          <cell r="E75" t="str">
            <v>报表</v>
          </cell>
          <cell r="F75" t="str">
            <v>计划</v>
          </cell>
          <cell r="G75">
            <v>9572</v>
          </cell>
          <cell r="H75">
            <v>9972</v>
          </cell>
          <cell r="I75">
            <v>8844</v>
          </cell>
          <cell r="J75">
            <v>-0.113116726835138</v>
          </cell>
          <cell r="K75">
            <v>9100</v>
          </cell>
        </row>
        <row r="76">
          <cell r="B76" t="str">
            <v>深圳光电子</v>
          </cell>
        </row>
        <row r="76">
          <cell r="G76">
            <v>5502</v>
          </cell>
          <cell r="H76">
            <v>4956</v>
          </cell>
          <cell r="I76">
            <v>5098</v>
          </cell>
          <cell r="J76">
            <v>0.0286521388216303</v>
          </cell>
          <cell r="K76">
            <v>5100</v>
          </cell>
        </row>
        <row r="77">
          <cell r="B77" t="str">
            <v>深九发房产</v>
          </cell>
        </row>
        <row r="77">
          <cell r="G77">
            <v>495</v>
          </cell>
          <cell r="H77">
            <v>430</v>
          </cell>
          <cell r="I77">
            <v>390</v>
          </cell>
          <cell r="J77">
            <v>-0.0930232558139535</v>
          </cell>
          <cell r="K77">
            <v>400</v>
          </cell>
        </row>
        <row r="78">
          <cell r="B78" t="str">
            <v>集团总部房产</v>
          </cell>
        </row>
        <row r="78">
          <cell r="G78">
            <v>0</v>
          </cell>
          <cell r="H78">
            <v>500</v>
          </cell>
        </row>
        <row r="78">
          <cell r="J78">
            <v>-1</v>
          </cell>
          <cell r="K78">
            <v>0</v>
          </cell>
        </row>
        <row r="79">
          <cell r="B79" t="str">
            <v>深九电器房产</v>
          </cell>
        </row>
        <row r="79">
          <cell r="G79">
            <v>3575</v>
          </cell>
          <cell r="H79">
            <v>4086</v>
          </cell>
          <cell r="I79">
            <v>3356</v>
          </cell>
          <cell r="J79">
            <v>-0.1786588350465</v>
          </cell>
          <cell r="K79">
            <v>3600</v>
          </cell>
        </row>
        <row r="80">
          <cell r="B80" t="str">
            <v>九洲后勤</v>
          </cell>
          <cell r="C80" t="str">
            <v>职能型业务</v>
          </cell>
          <cell r="D80" t="str">
            <v>职能型业务</v>
          </cell>
          <cell r="E80" t="str">
            <v>报表</v>
          </cell>
          <cell r="F80" t="str">
            <v>计划</v>
          </cell>
          <cell r="G80">
            <v>6262</v>
          </cell>
          <cell r="H80">
            <v>7240</v>
          </cell>
          <cell r="I80">
            <v>8099</v>
          </cell>
          <cell r="J80">
            <v>0.118646408839779</v>
          </cell>
          <cell r="K80">
            <v>7500</v>
          </cell>
        </row>
        <row r="81">
          <cell r="B81" t="str">
            <v>九洲创投</v>
          </cell>
          <cell r="C81" t="str">
            <v>职能型业务</v>
          </cell>
          <cell r="D81" t="str">
            <v>职能型业务</v>
          </cell>
          <cell r="E81" t="str">
            <v>报表</v>
          </cell>
          <cell r="F81" t="str">
            <v>计划</v>
          </cell>
          <cell r="G81">
            <v>610</v>
          </cell>
          <cell r="H81">
            <v>684</v>
          </cell>
          <cell r="I81">
            <v>641</v>
          </cell>
          <cell r="J81">
            <v>-0.0628654970760234</v>
          </cell>
          <cell r="K81">
            <v>500</v>
          </cell>
        </row>
        <row r="83">
          <cell r="B83" t="str">
            <v>坏账收回</v>
          </cell>
        </row>
        <row r="84">
          <cell r="B84" t="str">
            <v>香港控股</v>
          </cell>
        </row>
        <row r="85">
          <cell r="E85" t="str">
            <v>131板块数据（报表数据）</v>
          </cell>
        </row>
        <row r="86">
          <cell r="E86" t="str">
            <v>统计口径</v>
          </cell>
        </row>
        <row r="86">
          <cell r="G86" t="str">
            <v>营业收入</v>
          </cell>
        </row>
        <row r="87">
          <cell r="G87" t="str">
            <v>2021年</v>
          </cell>
          <cell r="H87" t="str">
            <v>2022年</v>
          </cell>
          <cell r="I87" t="str">
            <v>2023年</v>
          </cell>
          <cell r="J87" t="str">
            <v>同比</v>
          </cell>
          <cell r="K87" t="str">
            <v>占比</v>
          </cell>
        </row>
        <row r="88">
          <cell r="E88" t="str">
            <v>简单合计</v>
          </cell>
        </row>
        <row r="88">
          <cell r="G88">
            <v>3739629</v>
          </cell>
          <cell r="H88">
            <v>4332600</v>
          </cell>
          <cell r="I88">
            <v>4656182</v>
          </cell>
          <cell r="J88">
            <v>0.074685408299866</v>
          </cell>
          <cell r="K88" t="str">
            <v>-</v>
          </cell>
        </row>
        <row r="89">
          <cell r="E89" t="str">
            <v>军工BG</v>
          </cell>
        </row>
        <row r="89">
          <cell r="G89">
            <v>714300</v>
          </cell>
          <cell r="H89">
            <v>784298</v>
          </cell>
          <cell r="I89">
            <v>782816</v>
          </cell>
          <cell r="J89">
            <v>-0.00188958788623717</v>
          </cell>
          <cell r="K89">
            <v>0.168124012334569</v>
          </cell>
        </row>
        <row r="90">
          <cell r="E90" t="str">
            <v>多媒体BG</v>
          </cell>
        </row>
        <row r="90">
          <cell r="G90">
            <v>376247</v>
          </cell>
          <cell r="H90">
            <v>409594</v>
          </cell>
          <cell r="I90">
            <v>389699</v>
          </cell>
          <cell r="J90">
            <v>-0.0485724888548172</v>
          </cell>
          <cell r="K90">
            <v>0.0836949672499915</v>
          </cell>
        </row>
        <row r="91">
          <cell r="E91" t="str">
            <v>软智BG</v>
          </cell>
        </row>
        <row r="91">
          <cell r="G91">
            <v>431905</v>
          </cell>
          <cell r="H91">
            <v>424591</v>
          </cell>
          <cell r="I91">
            <v>531590</v>
          </cell>
          <cell r="J91">
            <v>0.25200487056956</v>
          </cell>
          <cell r="K91">
            <v>0.11416864718776</v>
          </cell>
        </row>
        <row r="92">
          <cell r="E92" t="str">
            <v>导航BG</v>
          </cell>
        </row>
        <row r="92">
          <cell r="G92">
            <v>1182022</v>
          </cell>
          <cell r="H92">
            <v>1419154</v>
          </cell>
          <cell r="I92">
            <v>1468992</v>
          </cell>
          <cell r="J92">
            <v>0.0351181055755754</v>
          </cell>
          <cell r="K92">
            <v>0.315492822230746</v>
          </cell>
        </row>
        <row r="93">
          <cell r="E93" t="str">
            <v>直属BU</v>
          </cell>
        </row>
        <row r="93">
          <cell r="G93">
            <v>868914</v>
          </cell>
          <cell r="H93">
            <v>1137339</v>
          </cell>
          <cell r="I93">
            <v>1265005</v>
          </cell>
          <cell r="J93">
            <v>0.112249733808478</v>
          </cell>
          <cell r="K93">
            <v>0.271682893838772</v>
          </cell>
        </row>
        <row r="94">
          <cell r="E94" t="str">
            <v>职能型业务</v>
          </cell>
        </row>
        <row r="94">
          <cell r="G94">
            <v>144545</v>
          </cell>
          <cell r="H94">
            <v>140111</v>
          </cell>
          <cell r="I94">
            <v>199827</v>
          </cell>
          <cell r="J94">
            <v>0.426204937513828</v>
          </cell>
          <cell r="K94">
            <v>0.042916492525421</v>
          </cell>
        </row>
        <row r="95">
          <cell r="E95" t="str">
            <v>其他（智慧城市+福瑞祥）</v>
          </cell>
        </row>
        <row r="95">
          <cell r="G95">
            <v>21696</v>
          </cell>
          <cell r="H95">
            <v>17513</v>
          </cell>
          <cell r="I95">
            <v>18253</v>
          </cell>
          <cell r="J95">
            <v>0.0422543253583052</v>
          </cell>
          <cell r="K95">
            <v>0.00392016463273987</v>
          </cell>
        </row>
        <row r="98">
          <cell r="E98" t="str">
            <v>五大板块（报表数据）</v>
          </cell>
        </row>
        <row r="99">
          <cell r="E99" t="str">
            <v>统计口径</v>
          </cell>
        </row>
        <row r="99">
          <cell r="G99" t="str">
            <v>营业收入</v>
          </cell>
        </row>
        <row r="100">
          <cell r="G100" t="str">
            <v>2021年</v>
          </cell>
          <cell r="H100" t="str">
            <v>2022年</v>
          </cell>
          <cell r="I100" t="str">
            <v>2023年</v>
          </cell>
          <cell r="J100" t="str">
            <v>同比</v>
          </cell>
          <cell r="K100" t="str">
            <v>占比</v>
          </cell>
        </row>
        <row r="101">
          <cell r="E101" t="str">
            <v>简单合计</v>
          </cell>
        </row>
        <row r="101">
          <cell r="G101">
            <v>3739629</v>
          </cell>
          <cell r="H101">
            <v>4332600</v>
          </cell>
          <cell r="I101">
            <v>4656182</v>
          </cell>
          <cell r="J101">
            <v>0.074685408299866</v>
          </cell>
          <cell r="K101" t="str">
            <v>-</v>
          </cell>
        </row>
        <row r="102">
          <cell r="E102" t="str">
            <v>军工电子</v>
          </cell>
        </row>
        <row r="102">
          <cell r="G102">
            <v>710399</v>
          </cell>
          <cell r="H102">
            <v>776044</v>
          </cell>
          <cell r="I102">
            <v>779713</v>
          </cell>
          <cell r="J102">
            <v>0.00472782471096989</v>
          </cell>
          <cell r="K102">
            <v>0.167457586494686</v>
          </cell>
        </row>
        <row r="103">
          <cell r="E103" t="str">
            <v>通信与智能终端</v>
          </cell>
        </row>
        <row r="103">
          <cell r="G103">
            <v>334368</v>
          </cell>
          <cell r="H103">
            <v>362150</v>
          </cell>
          <cell r="I103">
            <v>342941</v>
          </cell>
          <cell r="J103">
            <v>-0.0530415573657325</v>
          </cell>
          <cell r="K103">
            <v>0.073652834017227</v>
          </cell>
        </row>
        <row r="104">
          <cell r="E104" t="str">
            <v>软件与数据智能</v>
          </cell>
        </row>
        <row r="104">
          <cell r="G104">
            <v>449067</v>
          </cell>
          <cell r="H104">
            <v>447439</v>
          </cell>
          <cell r="I104">
            <v>555647</v>
          </cell>
          <cell r="J104">
            <v>0.241838552294279</v>
          </cell>
          <cell r="K104">
            <v>0.119335326668932</v>
          </cell>
        </row>
        <row r="105">
          <cell r="E105" t="str">
            <v>高端元器件</v>
          </cell>
        </row>
        <row r="105">
          <cell r="G105">
            <v>628989</v>
          </cell>
          <cell r="H105">
            <v>837582</v>
          </cell>
          <cell r="I105">
            <v>934499</v>
          </cell>
          <cell r="J105">
            <v>0.115710461781652</v>
          </cell>
          <cell r="K105">
            <v>0.200700702850533</v>
          </cell>
        </row>
        <row r="106">
          <cell r="E106" t="str">
            <v>汽车电子与装备</v>
          </cell>
        </row>
        <row r="106">
          <cell r="G106">
            <v>1008</v>
          </cell>
          <cell r="H106">
            <v>7160</v>
          </cell>
          <cell r="I106">
            <v>14372</v>
          </cell>
          <cell r="J106">
            <v>1.0072625698324</v>
          </cell>
          <cell r="K106">
            <v>0.00308664910435202</v>
          </cell>
        </row>
        <row r="107">
          <cell r="E107" t="str">
            <v>其他业务</v>
          </cell>
        </row>
        <row r="107">
          <cell r="G107">
            <v>1445968</v>
          </cell>
          <cell r="H107">
            <v>1739946</v>
          </cell>
          <cell r="I107">
            <v>1805972</v>
          </cell>
          <cell r="J107">
            <v>0.037947154681812</v>
          </cell>
          <cell r="K107">
            <v>0.387865422786309</v>
          </cell>
        </row>
        <row r="108">
          <cell r="E108" t="str">
            <v>职能型业务</v>
          </cell>
        </row>
        <row r="108">
          <cell r="G108">
            <v>144898</v>
          </cell>
          <cell r="H108">
            <v>140028</v>
          </cell>
          <cell r="I108">
            <v>198970</v>
          </cell>
          <cell r="J108">
            <v>0.420930099694347</v>
          </cell>
          <cell r="K108">
            <v>0.0427324361461816</v>
          </cell>
        </row>
        <row r="109">
          <cell r="E109" t="str">
            <v>智慧城市+福瑞祥电器+运输</v>
          </cell>
        </row>
        <row r="109">
          <cell r="G109">
            <v>24932</v>
          </cell>
          <cell r="H109">
            <v>22251</v>
          </cell>
          <cell r="I109">
            <v>24068</v>
          </cell>
          <cell r="J109">
            <v>0.0816592512696059</v>
          </cell>
          <cell r="K109">
            <v>0.00516904193178016</v>
          </cell>
        </row>
        <row r="116">
          <cell r="B116" t="str">
            <v>非核心业务</v>
          </cell>
        </row>
        <row r="116">
          <cell r="G116">
            <v>614129</v>
          </cell>
          <cell r="H116">
            <v>498170</v>
          </cell>
          <cell r="I116">
            <v>503013</v>
          </cell>
          <cell r="J116">
            <v>0.00972158098641018</v>
          </cell>
          <cell r="K116">
            <v>315000</v>
          </cell>
        </row>
        <row r="117">
          <cell r="B117" t="str">
            <v>九洲电器贸易</v>
          </cell>
        </row>
        <row r="117">
          <cell r="G117">
            <v>171790</v>
          </cell>
          <cell r="H117">
            <v>196613</v>
          </cell>
          <cell r="I117">
            <v>125306</v>
          </cell>
          <cell r="J117">
            <v>-0.362676933875176</v>
          </cell>
          <cell r="K117">
            <v>80000</v>
          </cell>
        </row>
        <row r="118">
          <cell r="B118" t="str">
            <v>九洲线缆贸易</v>
          </cell>
        </row>
        <row r="118">
          <cell r="G118">
            <v>380339</v>
          </cell>
          <cell r="H118">
            <v>277544</v>
          </cell>
          <cell r="I118">
            <v>350707</v>
          </cell>
          <cell r="J118">
            <v>0.2636086530424</v>
          </cell>
          <cell r="K118">
            <v>210000</v>
          </cell>
        </row>
        <row r="119">
          <cell r="B119" t="str">
            <v>九强通信贸易</v>
          </cell>
        </row>
        <row r="119">
          <cell r="G119">
            <v>62000</v>
          </cell>
          <cell r="H119">
            <v>24013</v>
          </cell>
          <cell r="I119">
            <v>27000</v>
          </cell>
          <cell r="J119">
            <v>0.12439095489943</v>
          </cell>
          <cell r="K119">
            <v>25000</v>
          </cell>
        </row>
        <row r="120">
          <cell r="B120" t="str">
            <v>香港控股</v>
          </cell>
        </row>
        <row r="120">
          <cell r="G120">
            <v>99099</v>
          </cell>
          <cell r="H120">
            <v>94951</v>
          </cell>
          <cell r="I120">
            <v>154032</v>
          </cell>
        </row>
        <row r="120">
          <cell r="K120">
            <v>120000</v>
          </cell>
        </row>
        <row r="121">
          <cell r="B121" t="str">
            <v>香港控股（贸易）</v>
          </cell>
        </row>
        <row r="121">
          <cell r="G121">
            <v>22800</v>
          </cell>
          <cell r="H121">
            <v>44000</v>
          </cell>
          <cell r="I121">
            <v>84032</v>
          </cell>
          <cell r="J121">
            <v>0.909818181818182</v>
          </cell>
          <cell r="K121">
            <v>0</v>
          </cell>
        </row>
        <row r="122">
          <cell r="B122" t="str">
            <v>香港控股（主业）</v>
          </cell>
        </row>
        <row r="122">
          <cell r="G122">
            <v>76299</v>
          </cell>
          <cell r="H122">
            <v>50951</v>
          </cell>
          <cell r="I122">
            <v>70000</v>
          </cell>
          <cell r="J122">
            <v>0.373869011403113</v>
          </cell>
          <cell r="K122">
            <v>120000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44"/>
  <sheetViews>
    <sheetView workbookViewId="0">
      <pane xSplit="3" ySplit="3" topLeftCell="D20" activePane="bottomRight" state="frozen"/>
      <selection/>
      <selection pane="topRight"/>
      <selection pane="bottomLeft"/>
      <selection pane="bottomRight" activeCell="K26" sqref="K26"/>
    </sheetView>
  </sheetViews>
  <sheetFormatPr defaultColWidth="8.125" defaultRowHeight="13.5"/>
  <cols>
    <col min="1" max="1" width="8.625" style="355" customWidth="1"/>
    <col min="2" max="2" width="13.125" style="355" customWidth="1"/>
    <col min="3" max="3" width="7.875" style="355" customWidth="1"/>
    <col min="4" max="8" width="11.75" style="355" customWidth="1"/>
    <col min="9" max="11" width="11.75" style="354" customWidth="1"/>
    <col min="12" max="12" width="41.875" style="355" customWidth="1"/>
    <col min="13" max="42" width="8" style="355" customWidth="1"/>
    <col min="43" max="16384" width="8.125" style="355"/>
  </cols>
  <sheetData>
    <row r="1" ht="17.25" spans="1:1">
      <c r="A1" s="356"/>
    </row>
    <row r="2" ht="50.1" customHeight="1" spans="1:12">
      <c r="A2" s="370" t="s">
        <v>0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</row>
    <row r="3" ht="38.1" customHeight="1" spans="1:12">
      <c r="A3" s="371" t="s">
        <v>1</v>
      </c>
      <c r="B3" s="371"/>
      <c r="C3" s="371" t="s">
        <v>2</v>
      </c>
      <c r="D3" s="371" t="s">
        <v>3</v>
      </c>
      <c r="E3" s="371" t="s">
        <v>4</v>
      </c>
      <c r="F3" s="371" t="s">
        <v>5</v>
      </c>
      <c r="G3" s="371" t="s">
        <v>6</v>
      </c>
      <c r="H3" s="371" t="s">
        <v>7</v>
      </c>
      <c r="I3" s="371" t="s">
        <v>8</v>
      </c>
      <c r="J3" s="371" t="s">
        <v>9</v>
      </c>
      <c r="K3" s="371" t="s">
        <v>10</v>
      </c>
      <c r="L3" s="371" t="s">
        <v>11</v>
      </c>
    </row>
    <row r="4" ht="24" customHeight="1" spans="1:12">
      <c r="A4" s="372" t="s">
        <v>12</v>
      </c>
      <c r="B4" s="372" t="s">
        <v>13</v>
      </c>
      <c r="C4" s="373" t="s">
        <v>14</v>
      </c>
      <c r="D4" s="374">
        <v>4750000</v>
      </c>
      <c r="E4" s="375">
        <v>809300</v>
      </c>
      <c r="F4" s="375">
        <v>465000</v>
      </c>
      <c r="G4" s="375">
        <v>780600</v>
      </c>
      <c r="H4" s="375">
        <v>1083000</v>
      </c>
      <c r="I4" s="375">
        <v>30000</v>
      </c>
      <c r="J4" s="375">
        <v>1789600</v>
      </c>
      <c r="K4" s="375">
        <v>165100</v>
      </c>
      <c r="L4" s="388" t="s">
        <v>15</v>
      </c>
    </row>
    <row r="5" ht="24" hidden="1" customHeight="1" outlineLevel="1" spans="1:12">
      <c r="A5" s="372"/>
      <c r="B5" s="372" t="s">
        <v>16</v>
      </c>
      <c r="C5" s="373" t="s">
        <v>14</v>
      </c>
      <c r="D5" s="374">
        <f>292318-41030</f>
        <v>251288</v>
      </c>
      <c r="E5" s="375">
        <v>29662</v>
      </c>
      <c r="F5" s="375">
        <v>21537</v>
      </c>
      <c r="G5" s="375">
        <v>29181</v>
      </c>
      <c r="H5" s="375">
        <v>78227</v>
      </c>
      <c r="I5" s="375">
        <v>622</v>
      </c>
      <c r="J5" s="375">
        <v>119158</v>
      </c>
      <c r="K5" s="375">
        <v>10569</v>
      </c>
      <c r="L5" s="389"/>
    </row>
    <row r="6" ht="24" customHeight="1" collapsed="1" spans="1:12">
      <c r="A6" s="372"/>
      <c r="B6" s="372" t="s">
        <v>17</v>
      </c>
      <c r="C6" s="373" t="s">
        <v>14</v>
      </c>
      <c r="D6" s="374">
        <f>1328214-41030</f>
        <v>1287184</v>
      </c>
      <c r="E6" s="375">
        <v>152527</v>
      </c>
      <c r="F6" s="375">
        <v>100859</v>
      </c>
      <c r="G6" s="375">
        <v>212069</v>
      </c>
      <c r="H6" s="375">
        <v>352365</v>
      </c>
      <c r="I6" s="375">
        <v>3959</v>
      </c>
      <c r="J6" s="375">
        <v>442053</v>
      </c>
      <c r="K6" s="375">
        <v>49757</v>
      </c>
      <c r="L6" s="389"/>
    </row>
    <row r="7" ht="24" hidden="1" customHeight="1" outlineLevel="1" spans="1:12">
      <c r="A7" s="372"/>
      <c r="B7" s="372" t="s">
        <v>18</v>
      </c>
      <c r="C7" s="373" t="s">
        <v>14</v>
      </c>
      <c r="D7" s="374">
        <v>1387779</v>
      </c>
      <c r="E7" s="375">
        <v>232595</v>
      </c>
      <c r="F7" s="375">
        <v>97055</v>
      </c>
      <c r="G7" s="375">
        <v>180169</v>
      </c>
      <c r="H7" s="375">
        <v>357754</v>
      </c>
      <c r="I7" s="375">
        <v>1655</v>
      </c>
      <c r="J7" s="375">
        <v>494282</v>
      </c>
      <c r="K7" s="375">
        <v>58794</v>
      </c>
      <c r="L7" s="389"/>
    </row>
    <row r="8" ht="24" customHeight="1" collapsed="1" spans="1:12">
      <c r="A8" s="372"/>
      <c r="B8" s="372" t="s">
        <v>19</v>
      </c>
      <c r="C8" s="373" t="s">
        <v>14</v>
      </c>
      <c r="D8" s="374">
        <f>D6-D7</f>
        <v>-100595</v>
      </c>
      <c r="E8" s="375">
        <v>-80068</v>
      </c>
      <c r="F8" s="375">
        <v>3804</v>
      </c>
      <c r="G8" s="375">
        <v>31900</v>
      </c>
      <c r="H8" s="375">
        <v>-5389</v>
      </c>
      <c r="I8" s="375">
        <v>2304</v>
      </c>
      <c r="J8" s="375">
        <v>-52229</v>
      </c>
      <c r="K8" s="375">
        <v>-9037</v>
      </c>
      <c r="L8" s="389"/>
    </row>
    <row r="9" ht="24" customHeight="1" spans="1:12">
      <c r="A9" s="372"/>
      <c r="B9" s="372" t="s">
        <v>20</v>
      </c>
      <c r="C9" s="373" t="s">
        <v>21</v>
      </c>
      <c r="D9" s="376">
        <f>D6/D7*100-100</f>
        <v>-7.24863252722515</v>
      </c>
      <c r="E9" s="377">
        <v>-34.4237838302629</v>
      </c>
      <c r="F9" s="377">
        <v>3.9194271289475</v>
      </c>
      <c r="G9" s="377">
        <v>17.7055986323951</v>
      </c>
      <c r="H9" s="377">
        <v>-1.50634234697586</v>
      </c>
      <c r="I9" s="377">
        <v>139.214501510574</v>
      </c>
      <c r="J9" s="377">
        <v>-10.5666400961395</v>
      </c>
      <c r="K9" s="377">
        <v>-15.3706160492567</v>
      </c>
      <c r="L9" s="389"/>
    </row>
    <row r="10" ht="29.1" customHeight="1" spans="1:12">
      <c r="A10" s="372"/>
      <c r="B10" s="372" t="s">
        <v>22</v>
      </c>
      <c r="C10" s="373" t="s">
        <v>21</v>
      </c>
      <c r="D10" s="376">
        <f>D6/D4*100</f>
        <v>27.0986105263158</v>
      </c>
      <c r="E10" s="377">
        <v>18.8467811689114</v>
      </c>
      <c r="F10" s="377">
        <v>21.6901075268817</v>
      </c>
      <c r="G10" s="377">
        <v>27.1674353061747</v>
      </c>
      <c r="H10" s="377">
        <v>32.5360110803324</v>
      </c>
      <c r="I10" s="377">
        <v>13.1966666666667</v>
      </c>
      <c r="J10" s="377">
        <v>24.7012181493071</v>
      </c>
      <c r="K10" s="377">
        <v>30.137492428831</v>
      </c>
      <c r="L10" s="389"/>
    </row>
    <row r="11" ht="24" customHeight="1" spans="1:12">
      <c r="A11" s="372" t="s">
        <v>23</v>
      </c>
      <c r="B11" s="372" t="s">
        <v>13</v>
      </c>
      <c r="C11" s="373" t="s">
        <v>14</v>
      </c>
      <c r="D11" s="374">
        <v>100000</v>
      </c>
      <c r="E11" s="375">
        <v>50900</v>
      </c>
      <c r="F11" s="375">
        <v>19300</v>
      </c>
      <c r="G11" s="375">
        <v>12700</v>
      </c>
      <c r="H11" s="375">
        <v>60000</v>
      </c>
      <c r="I11" s="375">
        <v>-700</v>
      </c>
      <c r="J11" s="375">
        <v>11880</v>
      </c>
      <c r="K11" s="375">
        <v>5930</v>
      </c>
      <c r="L11" s="388" t="s">
        <v>24</v>
      </c>
    </row>
    <row r="12" ht="24" hidden="1" customHeight="1" outlineLevel="1" spans="1:12">
      <c r="A12" s="372"/>
      <c r="B12" s="372" t="s">
        <v>16</v>
      </c>
      <c r="C12" s="373" t="s">
        <v>14</v>
      </c>
      <c r="D12" s="374">
        <f>21096-10620-159</f>
        <v>10317</v>
      </c>
      <c r="E12" s="375">
        <v>-340</v>
      </c>
      <c r="F12" s="375">
        <v>723</v>
      </c>
      <c r="G12" s="375">
        <v>-491</v>
      </c>
      <c r="H12" s="375">
        <v>10135</v>
      </c>
      <c r="I12" s="375">
        <v>-349</v>
      </c>
      <c r="J12" s="375">
        <v>676</v>
      </c>
      <c r="K12" s="375">
        <v>537</v>
      </c>
      <c r="L12" s="389"/>
    </row>
    <row r="13" ht="24" customHeight="1" collapsed="1" spans="1:12">
      <c r="A13" s="372"/>
      <c r="B13" s="372" t="s">
        <v>17</v>
      </c>
      <c r="C13" s="373" t="s">
        <v>14</v>
      </c>
      <c r="D13" s="374">
        <f>31620-10620-159</f>
        <v>20841</v>
      </c>
      <c r="E13" s="375">
        <v>-6288</v>
      </c>
      <c r="F13" s="375">
        <v>3337</v>
      </c>
      <c r="G13" s="375">
        <v>1355</v>
      </c>
      <c r="H13" s="375">
        <v>20723</v>
      </c>
      <c r="I13" s="375">
        <v>-930</v>
      </c>
      <c r="J13" s="375">
        <v>3335</v>
      </c>
      <c r="K13" s="375">
        <v>5307</v>
      </c>
      <c r="L13" s="389"/>
    </row>
    <row r="14" ht="24" hidden="1" customHeight="1" outlineLevel="1" spans="1:12">
      <c r="A14" s="372"/>
      <c r="B14" s="372" t="s">
        <v>18</v>
      </c>
      <c r="C14" s="373" t="s">
        <v>14</v>
      </c>
      <c r="D14" s="374">
        <v>26907</v>
      </c>
      <c r="E14" s="375">
        <v>13209</v>
      </c>
      <c r="F14" s="375">
        <v>2370</v>
      </c>
      <c r="G14" s="375">
        <v>1339</v>
      </c>
      <c r="H14" s="375">
        <v>12913</v>
      </c>
      <c r="I14" s="375">
        <v>-740</v>
      </c>
      <c r="J14" s="375">
        <v>6908</v>
      </c>
      <c r="K14" s="375">
        <v>2004</v>
      </c>
      <c r="L14" s="389"/>
    </row>
    <row r="15" ht="24" customHeight="1" collapsed="1" spans="1:12">
      <c r="A15" s="372"/>
      <c r="B15" s="372" t="s">
        <v>19</v>
      </c>
      <c r="C15" s="373" t="s">
        <v>14</v>
      </c>
      <c r="D15" s="374">
        <f>D13-D14</f>
        <v>-6066</v>
      </c>
      <c r="E15" s="375">
        <v>-19497</v>
      </c>
      <c r="F15" s="375">
        <v>967</v>
      </c>
      <c r="G15" s="375">
        <v>16</v>
      </c>
      <c r="H15" s="375">
        <v>7810</v>
      </c>
      <c r="I15" s="375">
        <v>-190</v>
      </c>
      <c r="J15" s="375">
        <v>-3573</v>
      </c>
      <c r="K15" s="375">
        <v>3303</v>
      </c>
      <c r="L15" s="389"/>
    </row>
    <row r="16" ht="24" customHeight="1" spans="1:12">
      <c r="A16" s="372"/>
      <c r="B16" s="372" t="s">
        <v>20</v>
      </c>
      <c r="C16" s="373" t="s">
        <v>21</v>
      </c>
      <c r="D16" s="376">
        <f>(D13-D14)/ABS(D14)*100</f>
        <v>-22.5443193221095</v>
      </c>
      <c r="E16" s="377">
        <v>-147.603906427436</v>
      </c>
      <c r="F16" s="377">
        <v>40.8016877637131</v>
      </c>
      <c r="G16" s="377">
        <v>1.1949215832711</v>
      </c>
      <c r="H16" s="377">
        <v>60.4816851235189</v>
      </c>
      <c r="I16" s="377">
        <v>-25.6756756756757</v>
      </c>
      <c r="J16" s="377">
        <v>-51.7226404169079</v>
      </c>
      <c r="K16" s="377">
        <v>164.820359281437</v>
      </c>
      <c r="L16" s="389"/>
    </row>
    <row r="17" ht="24" customHeight="1" spans="1:12">
      <c r="A17" s="372"/>
      <c r="B17" s="372" t="s">
        <v>22</v>
      </c>
      <c r="C17" s="373" t="s">
        <v>21</v>
      </c>
      <c r="D17" s="378">
        <f>D13/D11*100</f>
        <v>20.841</v>
      </c>
      <c r="E17" s="377" t="s">
        <v>25</v>
      </c>
      <c r="F17" s="377">
        <v>17.2901554404145</v>
      </c>
      <c r="G17" s="377">
        <v>10.6692913385827</v>
      </c>
      <c r="H17" s="377">
        <v>34.5383333333333</v>
      </c>
      <c r="I17" s="377">
        <v>132.857142857143</v>
      </c>
      <c r="J17" s="377">
        <v>28.0723905723906</v>
      </c>
      <c r="K17" s="377">
        <v>89.4940978077572</v>
      </c>
      <c r="L17" s="389"/>
    </row>
    <row r="18" ht="24" hidden="1" customHeight="1" outlineLevel="1" spans="1:12">
      <c r="A18" s="372" t="s">
        <v>26</v>
      </c>
      <c r="B18" s="372" t="s">
        <v>16</v>
      </c>
      <c r="C18" s="373" t="s">
        <v>14</v>
      </c>
      <c r="D18" s="379">
        <v>318920</v>
      </c>
      <c r="E18" s="372">
        <v>37309</v>
      </c>
      <c r="F18" s="372">
        <v>24658</v>
      </c>
      <c r="G18" s="372">
        <v>50453</v>
      </c>
      <c r="H18" s="372">
        <v>88948</v>
      </c>
      <c r="I18" s="372">
        <v>86</v>
      </c>
      <c r="J18" s="372">
        <v>102374</v>
      </c>
      <c r="K18" s="372">
        <v>14648</v>
      </c>
      <c r="L18" s="390"/>
    </row>
    <row r="19" ht="29.1" customHeight="1" collapsed="1" spans="1:12">
      <c r="A19" s="372"/>
      <c r="B19" s="372" t="s">
        <v>17</v>
      </c>
      <c r="C19" s="373" t="s">
        <v>14</v>
      </c>
      <c r="D19" s="374">
        <v>1327210</v>
      </c>
      <c r="E19" s="375">
        <v>158832</v>
      </c>
      <c r="F19" s="375">
        <v>102228</v>
      </c>
      <c r="G19" s="375">
        <v>238723</v>
      </c>
      <c r="H19" s="375">
        <v>386852</v>
      </c>
      <c r="I19" s="375">
        <v>2510</v>
      </c>
      <c r="J19" s="375">
        <v>377934</v>
      </c>
      <c r="K19" s="375">
        <v>57159</v>
      </c>
      <c r="L19" s="388" t="s">
        <v>27</v>
      </c>
    </row>
    <row r="20" ht="24" customHeight="1" outlineLevel="1" spans="1:12">
      <c r="A20" s="372"/>
      <c r="B20" s="372" t="s">
        <v>18</v>
      </c>
      <c r="C20" s="373" t="s">
        <v>14</v>
      </c>
      <c r="D20" s="374">
        <v>1378213</v>
      </c>
      <c r="E20" s="375">
        <v>252391</v>
      </c>
      <c r="F20" s="375">
        <v>87705</v>
      </c>
      <c r="G20" s="375">
        <v>133220</v>
      </c>
      <c r="H20" s="375">
        <v>371568</v>
      </c>
      <c r="I20" s="375">
        <v>2330</v>
      </c>
      <c r="J20" s="375">
        <v>468945</v>
      </c>
      <c r="K20" s="375">
        <v>59248</v>
      </c>
      <c r="L20" s="391"/>
    </row>
    <row r="21" ht="27" customHeight="1" spans="1:12">
      <c r="A21" s="372"/>
      <c r="B21" s="372" t="s">
        <v>19</v>
      </c>
      <c r="C21" s="373" t="s">
        <v>14</v>
      </c>
      <c r="D21" s="374">
        <v>-51003</v>
      </c>
      <c r="E21" s="375">
        <v>-93559</v>
      </c>
      <c r="F21" s="375">
        <v>14523</v>
      </c>
      <c r="G21" s="375">
        <v>105503</v>
      </c>
      <c r="H21" s="375">
        <v>15284</v>
      </c>
      <c r="I21" s="375">
        <v>180</v>
      </c>
      <c r="J21" s="375">
        <v>-91011</v>
      </c>
      <c r="K21" s="375">
        <v>-2089</v>
      </c>
      <c r="L21" s="391"/>
    </row>
    <row r="22" ht="30.95" customHeight="1" spans="1:12">
      <c r="A22" s="372"/>
      <c r="B22" s="372" t="s">
        <v>20</v>
      </c>
      <c r="C22" s="373" t="s">
        <v>21</v>
      </c>
      <c r="D22" s="379">
        <v>-3.7</v>
      </c>
      <c r="E22" s="377">
        <v>-37.0690714011197</v>
      </c>
      <c r="F22" s="377">
        <v>16.5589191038139</v>
      </c>
      <c r="G22" s="377">
        <v>79.1945653805735</v>
      </c>
      <c r="H22" s="377">
        <v>4.11337897773758</v>
      </c>
      <c r="I22" s="377">
        <v>7.72532188841201</v>
      </c>
      <c r="J22" s="377">
        <v>-19.4076064357227</v>
      </c>
      <c r="K22" s="377">
        <v>-3.52585741290845</v>
      </c>
      <c r="L22" s="391"/>
    </row>
    <row r="23" ht="24" hidden="1" customHeight="1" outlineLevel="1" spans="1:12">
      <c r="A23" s="372" t="s">
        <v>28</v>
      </c>
      <c r="B23" s="372" t="s">
        <v>16</v>
      </c>
      <c r="C23" s="373" t="s">
        <v>14</v>
      </c>
      <c r="D23" s="379">
        <v>322114</v>
      </c>
      <c r="E23" s="372">
        <v>33461</v>
      </c>
      <c r="F23" s="372">
        <v>31909</v>
      </c>
      <c r="G23" s="372">
        <v>47751</v>
      </c>
      <c r="H23" s="372">
        <v>74172</v>
      </c>
      <c r="I23" s="372">
        <v>1615</v>
      </c>
      <c r="J23" s="372">
        <v>109202</v>
      </c>
      <c r="K23" s="372">
        <v>16437</v>
      </c>
      <c r="L23" s="390"/>
    </row>
    <row r="24" ht="24" customHeight="1" collapsed="1" spans="1:12">
      <c r="A24" s="372"/>
      <c r="B24" s="372" t="s">
        <v>17</v>
      </c>
      <c r="C24" s="373" t="s">
        <v>14</v>
      </c>
      <c r="D24" s="374">
        <v>1206088</v>
      </c>
      <c r="E24" s="375">
        <v>78600</v>
      </c>
      <c r="F24" s="375">
        <v>148440</v>
      </c>
      <c r="G24" s="375">
        <v>143746</v>
      </c>
      <c r="H24" s="375">
        <v>339650</v>
      </c>
      <c r="I24" s="375">
        <v>5454</v>
      </c>
      <c r="J24" s="375">
        <v>428921</v>
      </c>
      <c r="K24" s="375">
        <v>52194</v>
      </c>
      <c r="L24" s="388" t="s">
        <v>29</v>
      </c>
    </row>
    <row r="25" ht="24" hidden="1" customHeight="1" outlineLevel="1" spans="1:12">
      <c r="A25" s="372"/>
      <c r="B25" s="372" t="s">
        <v>18</v>
      </c>
      <c r="C25" s="373" t="s">
        <v>14</v>
      </c>
      <c r="D25" s="374">
        <v>1352303</v>
      </c>
      <c r="E25" s="375">
        <v>111942</v>
      </c>
      <c r="F25" s="375">
        <v>117642</v>
      </c>
      <c r="G25" s="375">
        <v>144397</v>
      </c>
      <c r="H25" s="375">
        <v>357056</v>
      </c>
      <c r="I25" s="375">
        <v>490</v>
      </c>
      <c r="J25" s="375">
        <v>548750</v>
      </c>
      <c r="K25" s="375">
        <v>67499</v>
      </c>
      <c r="L25" s="389"/>
    </row>
    <row r="26" ht="24" customHeight="1" collapsed="1" spans="1:12">
      <c r="A26" s="372"/>
      <c r="B26" s="372" t="s">
        <v>19</v>
      </c>
      <c r="C26" s="373" t="s">
        <v>14</v>
      </c>
      <c r="D26" s="374">
        <v>-146215</v>
      </c>
      <c r="E26" s="375">
        <v>-33342</v>
      </c>
      <c r="F26" s="375">
        <v>30798</v>
      </c>
      <c r="G26" s="375">
        <v>-651</v>
      </c>
      <c r="H26" s="375">
        <v>-17406</v>
      </c>
      <c r="I26" s="375">
        <v>4964</v>
      </c>
      <c r="J26" s="375">
        <v>-119829</v>
      </c>
      <c r="K26" s="375">
        <v>-15305</v>
      </c>
      <c r="L26" s="389"/>
    </row>
    <row r="27" ht="24" customHeight="1" spans="1:12">
      <c r="A27" s="372"/>
      <c r="B27" s="372" t="s">
        <v>20</v>
      </c>
      <c r="C27" s="373" t="s">
        <v>21</v>
      </c>
      <c r="D27" s="379">
        <v>-10.8</v>
      </c>
      <c r="E27" s="377">
        <v>-29.7850672669775</v>
      </c>
      <c r="F27" s="377">
        <v>26.1794257153058</v>
      </c>
      <c r="G27" s="377">
        <v>-0.450840391420869</v>
      </c>
      <c r="H27" s="377">
        <v>-4.87486556730596</v>
      </c>
      <c r="I27" s="377">
        <v>1013.0612244898</v>
      </c>
      <c r="J27" s="377">
        <v>-21.8367198177677</v>
      </c>
      <c r="K27" s="377">
        <v>-22.6744099912591</v>
      </c>
      <c r="L27" s="389"/>
    </row>
    <row r="28" ht="24" hidden="1" customHeight="1" outlineLevel="1" spans="1:12">
      <c r="A28" s="372" t="s">
        <v>30</v>
      </c>
      <c r="B28" s="372" t="s">
        <v>16</v>
      </c>
      <c r="C28" s="373" t="s">
        <v>14</v>
      </c>
      <c r="D28" s="379">
        <v>17453</v>
      </c>
      <c r="E28" s="372">
        <v>3003</v>
      </c>
      <c r="F28" s="372">
        <v>815</v>
      </c>
      <c r="G28" s="372">
        <v>500</v>
      </c>
      <c r="H28" s="372">
        <v>6592</v>
      </c>
      <c r="I28" s="372">
        <v>8</v>
      </c>
      <c r="J28" s="372">
        <v>2496</v>
      </c>
      <c r="K28" s="372">
        <v>1207</v>
      </c>
      <c r="L28" s="390"/>
    </row>
    <row r="29" ht="24" customHeight="1" collapsed="1" spans="1:12">
      <c r="A29" s="372"/>
      <c r="B29" s="372" t="s">
        <v>17</v>
      </c>
      <c r="C29" s="373" t="s">
        <v>14</v>
      </c>
      <c r="D29" s="374">
        <v>49144</v>
      </c>
      <c r="E29" s="375">
        <v>14305</v>
      </c>
      <c r="F29" s="375">
        <v>3565</v>
      </c>
      <c r="G29" s="375">
        <v>1351</v>
      </c>
      <c r="H29" s="375">
        <v>10023</v>
      </c>
      <c r="I29" s="375">
        <v>36</v>
      </c>
      <c r="J29" s="375">
        <v>13964</v>
      </c>
      <c r="K29" s="375">
        <v>2295</v>
      </c>
      <c r="L29" s="388" t="s">
        <v>31</v>
      </c>
    </row>
    <row r="30" ht="24" hidden="1" customHeight="1" outlineLevel="1" spans="1:12">
      <c r="A30" s="372"/>
      <c r="B30" s="372" t="s">
        <v>18</v>
      </c>
      <c r="C30" s="373" t="s">
        <v>14</v>
      </c>
      <c r="D30" s="374">
        <v>42145</v>
      </c>
      <c r="E30" s="375">
        <v>6249</v>
      </c>
      <c r="F30" s="375">
        <v>3527</v>
      </c>
      <c r="G30" s="375">
        <v>1502</v>
      </c>
      <c r="H30" s="375">
        <v>11474</v>
      </c>
      <c r="I30" s="375">
        <v>142</v>
      </c>
      <c r="J30" s="375">
        <v>12609</v>
      </c>
      <c r="K30" s="375">
        <v>1390</v>
      </c>
      <c r="L30" s="389"/>
    </row>
    <row r="31" ht="24" customHeight="1" collapsed="1" spans="1:12">
      <c r="A31" s="372"/>
      <c r="B31" s="372" t="s">
        <v>19</v>
      </c>
      <c r="C31" s="373" t="s">
        <v>14</v>
      </c>
      <c r="D31" s="374">
        <f>D29-D30</f>
        <v>6999</v>
      </c>
      <c r="E31" s="375">
        <v>8056</v>
      </c>
      <c r="F31" s="375">
        <v>38</v>
      </c>
      <c r="G31" s="375">
        <v>-151</v>
      </c>
      <c r="H31" s="375">
        <v>-1451</v>
      </c>
      <c r="I31" s="375">
        <v>-106</v>
      </c>
      <c r="J31" s="375">
        <v>1355</v>
      </c>
      <c r="K31" s="375">
        <v>905</v>
      </c>
      <c r="L31" s="389"/>
    </row>
    <row r="32" ht="24" customHeight="1" spans="1:12">
      <c r="A32" s="372"/>
      <c r="B32" s="372" t="s">
        <v>20</v>
      </c>
      <c r="C32" s="373" t="s">
        <v>21</v>
      </c>
      <c r="D32" s="376">
        <f>D29/D30*100-100</f>
        <v>16.6069521888718</v>
      </c>
      <c r="E32" s="377">
        <v>128.916626660266</v>
      </c>
      <c r="F32" s="377">
        <v>1.07740289197618</v>
      </c>
      <c r="G32" s="377">
        <v>-10.0532623169108</v>
      </c>
      <c r="H32" s="377">
        <v>-12.6459822206728</v>
      </c>
      <c r="I32" s="377">
        <v>-74.6478873239437</v>
      </c>
      <c r="J32" s="377">
        <v>10.7462923308748</v>
      </c>
      <c r="K32" s="377">
        <v>65.1079136690647</v>
      </c>
      <c r="L32" s="389"/>
    </row>
    <row r="33" ht="24" hidden="1" customHeight="1" outlineLevel="1" spans="1:12">
      <c r="A33" s="380" t="s">
        <v>32</v>
      </c>
      <c r="B33" s="380" t="s">
        <v>16</v>
      </c>
      <c r="C33" s="381" t="s">
        <v>14</v>
      </c>
      <c r="D33" s="382">
        <v>18684</v>
      </c>
      <c r="E33" s="380">
        <v>4560</v>
      </c>
      <c r="F33" s="380">
        <v>3833</v>
      </c>
      <c r="G33" s="380">
        <v>1240</v>
      </c>
      <c r="H33" s="380">
        <v>7352</v>
      </c>
      <c r="I33" s="380">
        <v>260</v>
      </c>
      <c r="J33" s="380">
        <v>624</v>
      </c>
      <c r="K33" s="380">
        <v>527</v>
      </c>
      <c r="L33" s="392"/>
    </row>
    <row r="34" ht="24" customHeight="1" collapsed="1" spans="1:12">
      <c r="A34" s="380"/>
      <c r="B34" s="380" t="s">
        <v>17</v>
      </c>
      <c r="C34" s="381" t="s">
        <v>14</v>
      </c>
      <c r="D34" s="383">
        <v>124028</v>
      </c>
      <c r="E34" s="384">
        <v>48570</v>
      </c>
      <c r="F34" s="384">
        <v>20763</v>
      </c>
      <c r="G34" s="384">
        <v>7175</v>
      </c>
      <c r="H34" s="384">
        <v>32512</v>
      </c>
      <c r="I34" s="384">
        <v>848</v>
      </c>
      <c r="J34" s="384">
        <v>4541</v>
      </c>
      <c r="K34" s="384">
        <v>4181</v>
      </c>
      <c r="L34" s="393" t="s">
        <v>33</v>
      </c>
    </row>
    <row r="35" ht="24" hidden="1" customHeight="1" outlineLevel="1" spans="1:12">
      <c r="A35" s="380"/>
      <c r="B35" s="380" t="s">
        <v>18</v>
      </c>
      <c r="C35" s="381" t="s">
        <v>14</v>
      </c>
      <c r="D35" s="383">
        <v>110771</v>
      </c>
      <c r="E35" s="384">
        <v>46772</v>
      </c>
      <c r="F35" s="384">
        <v>17562</v>
      </c>
      <c r="G35" s="384">
        <v>5027</v>
      </c>
      <c r="H35" s="384">
        <v>28015</v>
      </c>
      <c r="I35" s="384">
        <v>391</v>
      </c>
      <c r="J35" s="384">
        <v>4112</v>
      </c>
      <c r="K35" s="384">
        <v>3695</v>
      </c>
      <c r="L35" s="394"/>
    </row>
    <row r="36" ht="24" customHeight="1" collapsed="1" spans="1:12">
      <c r="A36" s="380"/>
      <c r="B36" s="380" t="s">
        <v>19</v>
      </c>
      <c r="C36" s="381" t="s">
        <v>14</v>
      </c>
      <c r="D36" s="383">
        <f>D34-D35</f>
        <v>13257</v>
      </c>
      <c r="E36" s="384">
        <v>1798</v>
      </c>
      <c r="F36" s="384">
        <v>3201</v>
      </c>
      <c r="G36" s="384">
        <v>2148</v>
      </c>
      <c r="H36" s="384">
        <v>4497</v>
      </c>
      <c r="I36" s="384">
        <v>457</v>
      </c>
      <c r="J36" s="384">
        <v>429</v>
      </c>
      <c r="K36" s="384">
        <v>486</v>
      </c>
      <c r="L36" s="394"/>
    </row>
    <row r="37" ht="24" customHeight="1" spans="1:12">
      <c r="A37" s="380"/>
      <c r="B37" s="380" t="s">
        <v>20</v>
      </c>
      <c r="C37" s="381" t="s">
        <v>21</v>
      </c>
      <c r="D37" s="385">
        <f>D34/D35*100-100</f>
        <v>11.9679338455011</v>
      </c>
      <c r="E37" s="386">
        <v>3.84418027879929</v>
      </c>
      <c r="F37" s="386">
        <v>18.2268534335497</v>
      </c>
      <c r="G37" s="386">
        <v>42.7292619852795</v>
      </c>
      <c r="H37" s="386">
        <v>16.0521149384258</v>
      </c>
      <c r="I37" s="386">
        <v>116.879795396419</v>
      </c>
      <c r="J37" s="386">
        <v>10.4328793774319</v>
      </c>
      <c r="K37" s="386">
        <v>13.1529093369418</v>
      </c>
      <c r="L37" s="394"/>
    </row>
    <row r="38" ht="24" customHeight="1" spans="1:12">
      <c r="A38" s="387" t="s">
        <v>34</v>
      </c>
      <c r="B38" s="380" t="s">
        <v>16</v>
      </c>
      <c r="C38" s="381" t="s">
        <v>35</v>
      </c>
      <c r="D38" s="383">
        <v>24139</v>
      </c>
      <c r="E38" s="384">
        <v>4291</v>
      </c>
      <c r="F38" s="384">
        <v>5687</v>
      </c>
      <c r="G38" s="384">
        <v>1057</v>
      </c>
      <c r="H38" s="384">
        <v>10649</v>
      </c>
      <c r="I38" s="384">
        <v>451</v>
      </c>
      <c r="J38" s="384">
        <v>644</v>
      </c>
      <c r="K38" s="384">
        <v>1103</v>
      </c>
      <c r="L38" s="394"/>
    </row>
    <row r="39" ht="24" hidden="1" customHeight="1" outlineLevel="1" spans="1:12">
      <c r="A39" s="387"/>
      <c r="B39" s="380" t="s">
        <v>18</v>
      </c>
      <c r="C39" s="381" t="s">
        <v>35</v>
      </c>
      <c r="D39" s="383">
        <v>21196</v>
      </c>
      <c r="E39" s="384">
        <v>4074</v>
      </c>
      <c r="F39" s="384">
        <v>4826</v>
      </c>
      <c r="G39" s="384">
        <v>806</v>
      </c>
      <c r="H39" s="384">
        <v>9277</v>
      </c>
      <c r="I39" s="384">
        <v>85</v>
      </c>
      <c r="J39" s="384">
        <v>675</v>
      </c>
      <c r="K39" s="384">
        <v>1205</v>
      </c>
      <c r="L39" s="394"/>
    </row>
    <row r="40" ht="24" customHeight="1" collapsed="1" spans="1:12">
      <c r="A40" s="387"/>
      <c r="B40" s="380" t="s">
        <v>19</v>
      </c>
      <c r="C40" s="381" t="s">
        <v>35</v>
      </c>
      <c r="D40" s="383">
        <f>D38-D39</f>
        <v>2943</v>
      </c>
      <c r="E40" s="384">
        <v>217</v>
      </c>
      <c r="F40" s="384">
        <v>861</v>
      </c>
      <c r="G40" s="384">
        <v>251</v>
      </c>
      <c r="H40" s="384">
        <v>1372</v>
      </c>
      <c r="I40" s="384">
        <v>366</v>
      </c>
      <c r="J40" s="384">
        <v>-31</v>
      </c>
      <c r="K40" s="384">
        <v>-102</v>
      </c>
      <c r="L40" s="394"/>
    </row>
    <row r="41" ht="24" customHeight="1" spans="1:12">
      <c r="A41" s="387"/>
      <c r="B41" s="380" t="s">
        <v>20</v>
      </c>
      <c r="C41" s="381" t="s">
        <v>21</v>
      </c>
      <c r="D41" s="385">
        <f>D40/D39*100</f>
        <v>13.8846952255142</v>
      </c>
      <c r="E41" s="386">
        <v>5.32646048109966</v>
      </c>
      <c r="F41" s="386">
        <v>17.8408619975135</v>
      </c>
      <c r="G41" s="386">
        <v>31.1414392059553</v>
      </c>
      <c r="H41" s="386">
        <v>14.7892637706155</v>
      </c>
      <c r="I41" s="386">
        <v>430.588235294118</v>
      </c>
      <c r="J41" s="386">
        <v>-4.59259259259259</v>
      </c>
      <c r="K41" s="386">
        <v>-8.46473029045643</v>
      </c>
      <c r="L41" s="395"/>
    </row>
    <row r="42" ht="14.25" customHeight="1"/>
    <row r="43" ht="14.25" customHeight="1"/>
    <row r="44" ht="14.25" customHeight="1" spans="4:4">
      <c r="D44" s="359"/>
    </row>
  </sheetData>
  <sheetProtection formatCells="0" insertHyperlinks="0" autoFilter="0"/>
  <mergeCells count="15">
    <mergeCell ref="A2:L2"/>
    <mergeCell ref="A3:B3"/>
    <mergeCell ref="A4:A10"/>
    <mergeCell ref="A11:A17"/>
    <mergeCell ref="A18:A22"/>
    <mergeCell ref="A23:A27"/>
    <mergeCell ref="A28:A32"/>
    <mergeCell ref="A33:A37"/>
    <mergeCell ref="A38:A41"/>
    <mergeCell ref="L4:L10"/>
    <mergeCell ref="L11:L17"/>
    <mergeCell ref="L19:L22"/>
    <mergeCell ref="L24:L27"/>
    <mergeCell ref="L29:L32"/>
    <mergeCell ref="L34:L41"/>
  </mergeCells>
  <conditionalFormatting sqref="A8:K8 M8:XFD8">
    <cfRule type="cellIs" dxfId="0" priority="7" operator="lessThan">
      <formula>0</formula>
    </cfRule>
  </conditionalFormatting>
  <conditionalFormatting sqref="A12:K12 M12:XFD12">
    <cfRule type="cellIs" dxfId="0" priority="1" operator="lessThan">
      <formula>0</formula>
    </cfRule>
  </conditionalFormatting>
  <conditionalFormatting sqref="A15:K15 M15:XFD15">
    <cfRule type="cellIs" dxfId="0" priority="6" operator="lessThan">
      <formula>0</formula>
    </cfRule>
  </conditionalFormatting>
  <conditionalFormatting sqref="A21:K21 M21:XFD21">
    <cfRule type="cellIs" dxfId="0" priority="5" operator="lessThan">
      <formula>0</formula>
    </cfRule>
  </conditionalFormatting>
  <conditionalFormatting sqref="A26:K26 M26:XFD26">
    <cfRule type="cellIs" dxfId="0" priority="4" operator="lessThan">
      <formula>0</formula>
    </cfRule>
  </conditionalFormatting>
  <conditionalFormatting sqref="A31:K31 M31:XFD31">
    <cfRule type="cellIs" dxfId="0" priority="2" operator="lessThan">
      <formula>0</formula>
    </cfRule>
  </conditionalFormatting>
  <conditionalFormatting sqref="A36:K36 M36:XFD36">
    <cfRule type="cellIs" dxfId="0" priority="3" operator="lessThan">
      <formula>0</formula>
    </cfRule>
  </conditionalFormatting>
  <printOptions horizontalCentered="1"/>
  <pageMargins left="0.354166666666667" right="0.354166666666667" top="0.354166666666667" bottom="0.393055555555556" header="0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E45"/>
  <sheetViews>
    <sheetView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8.125" defaultRowHeight="13.5"/>
  <cols>
    <col min="1" max="1" width="8.125" style="355" customWidth="1"/>
    <col min="2" max="2" width="9.75" style="355" customWidth="1"/>
    <col min="3" max="3" width="6.25" style="355" customWidth="1"/>
    <col min="4" max="4" width="8" style="355" customWidth="1"/>
    <col min="5" max="5" width="6.25" style="355" hidden="1" customWidth="1" outlineLevel="1"/>
    <col min="6" max="6" width="6.875" style="355" customWidth="1" collapsed="1"/>
    <col min="7" max="8" width="6.875" style="355" customWidth="1"/>
    <col min="9" max="10" width="6.875" style="355" hidden="1" customWidth="1" outlineLevel="1"/>
    <col min="11" max="11" width="6.125" style="355" customWidth="1" collapsed="1"/>
    <col min="12" max="13" width="6.875" style="355" customWidth="1"/>
    <col min="14" max="15" width="6.5" style="355" customWidth="1"/>
    <col min="16" max="16" width="6.875" style="355" customWidth="1"/>
    <col min="17" max="17" width="6.5" style="355" customWidth="1"/>
    <col min="18" max="18" width="6.875" style="355" hidden="1" customWidth="1" outlineLevel="1"/>
    <col min="19" max="19" width="8" style="355" hidden="1" customWidth="1" outlineLevel="1"/>
    <col min="20" max="20" width="6.875" style="355" hidden="1" customWidth="1" outlineLevel="1"/>
    <col min="21" max="21" width="6.5" style="355" customWidth="1" collapsed="1"/>
    <col min="22" max="23" width="6.875" style="355" hidden="1" customWidth="1" outlineLevel="1"/>
    <col min="24" max="24" width="6.5" style="355" customWidth="1" collapsed="1"/>
    <col min="25" max="25" width="6.75" style="355" customWidth="1"/>
    <col min="26" max="26" width="6.5" style="355" customWidth="1"/>
    <col min="27" max="27" width="7.125" style="355" customWidth="1"/>
    <col min="28" max="28" width="6.625" style="355" customWidth="1"/>
    <col min="29" max="29" width="6.375" style="355" customWidth="1"/>
    <col min="30" max="30" width="6.625" style="355" customWidth="1"/>
    <col min="31" max="31" width="6.75" style="355" customWidth="1"/>
    <col min="32" max="45" width="6.75" style="354" customWidth="1"/>
    <col min="46" max="47" width="7.125" style="354" customWidth="1"/>
    <col min="48" max="53" width="7.125" style="354" hidden="1" customWidth="1" outlineLevel="1"/>
    <col min="54" max="54" width="7.125" style="354" customWidth="1" collapsed="1"/>
    <col min="55" max="55" width="7.125" style="354" customWidth="1"/>
    <col min="56" max="56" width="7.125" style="354" hidden="1" customWidth="1" outlineLevel="1"/>
    <col min="57" max="57" width="7.125" style="354" customWidth="1" collapsed="1"/>
    <col min="58" max="88" width="8" style="355" customWidth="1"/>
    <col min="89" max="16384" width="8.125" style="355"/>
  </cols>
  <sheetData>
    <row r="1" ht="17.25" spans="1:1">
      <c r="A1" s="356" t="s">
        <v>36</v>
      </c>
    </row>
    <row r="2" ht="17.1" customHeight="1" spans="1:57">
      <c r="A2" s="146" t="s">
        <v>37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363" t="s">
        <v>37</v>
      </c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364"/>
      <c r="BE2" s="364"/>
    </row>
    <row r="3" ht="21" customHeight="1" spans="1:57">
      <c r="A3" s="333" t="s">
        <v>1</v>
      </c>
      <c r="B3" s="334"/>
      <c r="C3" s="334" t="s">
        <v>2</v>
      </c>
      <c r="D3" s="334" t="s">
        <v>3</v>
      </c>
      <c r="E3" s="334" t="s">
        <v>38</v>
      </c>
      <c r="F3" s="334" t="s">
        <v>4</v>
      </c>
      <c r="G3" s="334"/>
      <c r="H3" s="334"/>
      <c r="I3" s="334"/>
      <c r="J3" s="334"/>
      <c r="K3" s="334"/>
      <c r="L3" s="334"/>
      <c r="M3" s="334"/>
      <c r="N3" s="334"/>
      <c r="O3" s="334"/>
      <c r="P3" s="334" t="s">
        <v>5</v>
      </c>
      <c r="Q3" s="334"/>
      <c r="R3" s="334"/>
      <c r="S3" s="334"/>
      <c r="T3" s="334"/>
      <c r="U3" s="334"/>
      <c r="V3" s="334"/>
      <c r="W3" s="334"/>
      <c r="X3" s="334"/>
      <c r="Y3" s="334" t="s">
        <v>6</v>
      </c>
      <c r="Z3" s="334"/>
      <c r="AA3" s="334"/>
      <c r="AB3" s="334"/>
      <c r="AC3" s="334"/>
      <c r="AD3" s="334"/>
      <c r="AE3" s="334" t="s">
        <v>7</v>
      </c>
      <c r="AF3" s="334"/>
      <c r="AG3" s="334"/>
      <c r="AH3" s="334"/>
      <c r="AI3" s="334"/>
      <c r="AJ3" s="334"/>
      <c r="AK3" s="334" t="s">
        <v>8</v>
      </c>
      <c r="AL3" s="334"/>
      <c r="AM3" s="334"/>
      <c r="AN3" s="334" t="s">
        <v>9</v>
      </c>
      <c r="AO3" s="334"/>
      <c r="AP3" s="334"/>
      <c r="AQ3" s="334"/>
      <c r="AR3" s="334"/>
      <c r="AS3" s="334"/>
      <c r="AT3" s="334" t="s">
        <v>10</v>
      </c>
      <c r="AU3" s="334"/>
      <c r="AV3" s="334"/>
      <c r="AW3" s="334"/>
      <c r="AX3" s="334"/>
      <c r="AY3" s="334"/>
      <c r="AZ3" s="334"/>
      <c r="BA3" s="334"/>
      <c r="BB3" s="334"/>
      <c r="BC3" s="334"/>
      <c r="BD3" s="334"/>
      <c r="BE3" s="345"/>
    </row>
    <row r="4" s="354" customFormat="1" ht="56.1" customHeight="1" spans="1:57">
      <c r="A4" s="333"/>
      <c r="B4" s="334"/>
      <c r="C4" s="334"/>
      <c r="D4" s="334"/>
      <c r="E4" s="334"/>
      <c r="F4" s="334" t="s">
        <v>39</v>
      </c>
      <c r="G4" s="334" t="s">
        <v>40</v>
      </c>
      <c r="H4" s="344" t="s">
        <v>41</v>
      </c>
      <c r="I4" s="334" t="s">
        <v>42</v>
      </c>
      <c r="J4" s="334" t="s">
        <v>43</v>
      </c>
      <c r="K4" s="334" t="s">
        <v>44</v>
      </c>
      <c r="L4" s="334" t="s">
        <v>45</v>
      </c>
      <c r="M4" s="334" t="s">
        <v>46</v>
      </c>
      <c r="N4" s="334" t="s">
        <v>47</v>
      </c>
      <c r="O4" s="334" t="s">
        <v>48</v>
      </c>
      <c r="P4" s="334" t="s">
        <v>39</v>
      </c>
      <c r="Q4" s="334" t="s">
        <v>49</v>
      </c>
      <c r="R4" s="344" t="s">
        <v>50</v>
      </c>
      <c r="S4" s="344" t="s">
        <v>51</v>
      </c>
      <c r="T4" s="344" t="s">
        <v>52</v>
      </c>
      <c r="U4" s="334" t="s">
        <v>53</v>
      </c>
      <c r="V4" s="334" t="s">
        <v>54</v>
      </c>
      <c r="W4" s="334" t="s">
        <v>55</v>
      </c>
      <c r="X4" s="334" t="s">
        <v>56</v>
      </c>
      <c r="Y4" s="334" t="s">
        <v>39</v>
      </c>
      <c r="Z4" s="334" t="s">
        <v>57</v>
      </c>
      <c r="AA4" s="334" t="s">
        <v>58</v>
      </c>
      <c r="AB4" s="334" t="s">
        <v>59</v>
      </c>
      <c r="AC4" s="334" t="s">
        <v>60</v>
      </c>
      <c r="AD4" s="334" t="s">
        <v>61</v>
      </c>
      <c r="AE4" s="334" t="s">
        <v>39</v>
      </c>
      <c r="AF4" s="334" t="s">
        <v>62</v>
      </c>
      <c r="AG4" s="334" t="s">
        <v>63</v>
      </c>
      <c r="AH4" s="334" t="s">
        <v>64</v>
      </c>
      <c r="AI4" s="334" t="s">
        <v>65</v>
      </c>
      <c r="AJ4" s="334" t="s">
        <v>66</v>
      </c>
      <c r="AK4" s="334" t="s">
        <v>39</v>
      </c>
      <c r="AL4" s="334" t="s">
        <v>67</v>
      </c>
      <c r="AM4" s="334" t="s">
        <v>68</v>
      </c>
      <c r="AN4" s="334" t="s">
        <v>39</v>
      </c>
      <c r="AO4" s="334" t="s">
        <v>69</v>
      </c>
      <c r="AP4" s="334" t="s">
        <v>70</v>
      </c>
      <c r="AQ4" s="334" t="s">
        <v>71</v>
      </c>
      <c r="AR4" s="334" t="s">
        <v>72</v>
      </c>
      <c r="AS4" s="334" t="s">
        <v>73</v>
      </c>
      <c r="AT4" s="334" t="s">
        <v>39</v>
      </c>
      <c r="AU4" s="334" t="s">
        <v>74</v>
      </c>
      <c r="AV4" s="334" t="s">
        <v>75</v>
      </c>
      <c r="AW4" s="334" t="s">
        <v>76</v>
      </c>
      <c r="AX4" s="334" t="s">
        <v>77</v>
      </c>
      <c r="AY4" s="334" t="s">
        <v>78</v>
      </c>
      <c r="AZ4" s="334" t="s">
        <v>79</v>
      </c>
      <c r="BA4" s="334" t="s">
        <v>80</v>
      </c>
      <c r="BB4" s="334" t="s">
        <v>81</v>
      </c>
      <c r="BC4" s="334" t="s">
        <v>82</v>
      </c>
      <c r="BD4" s="334" t="s">
        <v>83</v>
      </c>
      <c r="BE4" s="345" t="s">
        <v>84</v>
      </c>
    </row>
    <row r="5" ht="20.1" customHeight="1" spans="1:57">
      <c r="A5" s="337" t="s">
        <v>12</v>
      </c>
      <c r="B5" s="338" t="s">
        <v>13</v>
      </c>
      <c r="C5" s="339" t="s">
        <v>14</v>
      </c>
      <c r="D5" s="350">
        <v>4750000</v>
      </c>
      <c r="E5" s="350" t="s">
        <v>25</v>
      </c>
      <c r="F5" s="350">
        <f t="shared" ref="F5:F8" si="0">G5+K5+L5+M5+N5+O5</f>
        <v>809300</v>
      </c>
      <c r="G5" s="350">
        <v>619000</v>
      </c>
      <c r="H5" s="350">
        <v>520000</v>
      </c>
      <c r="I5" s="350">
        <v>60000</v>
      </c>
      <c r="J5" s="350">
        <v>34000</v>
      </c>
      <c r="K5" s="350">
        <v>2300</v>
      </c>
      <c r="L5" s="350">
        <v>90000</v>
      </c>
      <c r="M5" s="350">
        <v>45000</v>
      </c>
      <c r="N5" s="350">
        <v>27000</v>
      </c>
      <c r="O5" s="350">
        <v>26000</v>
      </c>
      <c r="P5" s="350">
        <f t="shared" ref="P5:P8" si="1">Q5+U5+X5</f>
        <v>465000</v>
      </c>
      <c r="Q5" s="350">
        <f t="shared" ref="Q5:Q8" si="2">R5+S5+T5</f>
        <v>356000</v>
      </c>
      <c r="R5" s="350">
        <v>250000</v>
      </c>
      <c r="S5" s="350">
        <v>106000</v>
      </c>
      <c r="T5" s="361">
        <v>0</v>
      </c>
      <c r="U5" s="362">
        <f t="shared" ref="U5:U8" si="3">V5+W5</f>
        <v>79000</v>
      </c>
      <c r="V5" s="350">
        <v>54000</v>
      </c>
      <c r="W5" s="350">
        <v>25000</v>
      </c>
      <c r="X5" s="350">
        <v>30000</v>
      </c>
      <c r="Y5" s="350">
        <f t="shared" ref="Y5:Y8" si="4">Z5+AA5+AB5+AC5+AD5</f>
        <v>780600</v>
      </c>
      <c r="Z5" s="350">
        <v>670000</v>
      </c>
      <c r="AA5" s="350">
        <v>10000</v>
      </c>
      <c r="AB5" s="350">
        <v>28600</v>
      </c>
      <c r="AC5" s="350">
        <v>37000</v>
      </c>
      <c r="AD5" s="350">
        <v>35000</v>
      </c>
      <c r="AE5" s="350">
        <f t="shared" ref="AE5:AE8" si="5">AF5+AG5+AH5+AI5+AJ5</f>
        <v>1083000</v>
      </c>
      <c r="AF5" s="350">
        <v>350000</v>
      </c>
      <c r="AG5" s="350">
        <v>560000</v>
      </c>
      <c r="AH5" s="350">
        <v>100000</v>
      </c>
      <c r="AI5" s="350">
        <v>23000</v>
      </c>
      <c r="AJ5" s="350">
        <v>50000</v>
      </c>
      <c r="AK5" s="350">
        <f t="shared" ref="AK5:AK8" si="6">AL5+AM5</f>
        <v>30000</v>
      </c>
      <c r="AL5" s="350">
        <v>20000</v>
      </c>
      <c r="AM5" s="350">
        <v>10000</v>
      </c>
      <c r="AN5" s="350">
        <f t="shared" ref="AN5:AN8" si="7">AO5+AP5+AQ5+AR5+AS5</f>
        <v>1789600</v>
      </c>
      <c r="AO5" s="350">
        <v>220000</v>
      </c>
      <c r="AP5" s="350">
        <v>164000</v>
      </c>
      <c r="AQ5" s="350">
        <v>5600</v>
      </c>
      <c r="AR5" s="350">
        <v>1000000</v>
      </c>
      <c r="AS5" s="350">
        <v>400000</v>
      </c>
      <c r="AT5" s="350">
        <f t="shared" ref="AT5:AT8" si="8">AU5+BB5+BC5+BD5+BE5</f>
        <v>165100</v>
      </c>
      <c r="AU5" s="350">
        <f t="shared" ref="AU5:AU8" si="9">AV5+AW5+AX5</f>
        <v>144100</v>
      </c>
      <c r="AV5" s="350">
        <v>120000</v>
      </c>
      <c r="AW5" s="350">
        <v>15000</v>
      </c>
      <c r="AX5" s="350">
        <f t="shared" ref="AX5:AX8" si="10">AY5+AZ5+BA5</f>
        <v>9100</v>
      </c>
      <c r="AY5" s="350">
        <v>400</v>
      </c>
      <c r="AZ5" s="350">
        <v>5100</v>
      </c>
      <c r="BA5" s="350">
        <v>3600</v>
      </c>
      <c r="BB5" s="350">
        <v>10000</v>
      </c>
      <c r="BC5" s="350">
        <v>3000</v>
      </c>
      <c r="BD5" s="350">
        <v>7500</v>
      </c>
      <c r="BE5" s="351">
        <v>500</v>
      </c>
    </row>
    <row r="6" ht="20.1" hidden="1" customHeight="1" outlineLevel="1" spans="1:57">
      <c r="A6" s="337"/>
      <c r="B6" s="338" t="s">
        <v>16</v>
      </c>
      <c r="C6" s="339" t="s">
        <v>14</v>
      </c>
      <c r="D6" s="350">
        <f>292318-41030</f>
        <v>251288</v>
      </c>
      <c r="E6" s="350">
        <v>3224</v>
      </c>
      <c r="F6" s="350">
        <f t="shared" si="0"/>
        <v>29662</v>
      </c>
      <c r="G6" s="350">
        <v>25972</v>
      </c>
      <c r="H6" s="350">
        <v>22321</v>
      </c>
      <c r="I6" s="350">
        <v>2984</v>
      </c>
      <c r="J6" s="350">
        <v>303</v>
      </c>
      <c r="K6" s="360">
        <v>0</v>
      </c>
      <c r="L6" s="350">
        <v>1931</v>
      </c>
      <c r="M6" s="350">
        <v>1283</v>
      </c>
      <c r="N6" s="350">
        <v>390</v>
      </c>
      <c r="O6" s="350">
        <v>86</v>
      </c>
      <c r="P6" s="350">
        <f t="shared" si="1"/>
        <v>21537</v>
      </c>
      <c r="Q6" s="350">
        <f t="shared" si="2"/>
        <v>17083</v>
      </c>
      <c r="R6" s="350">
        <v>11000</v>
      </c>
      <c r="S6" s="350">
        <f>5873-BA6</f>
        <v>5603</v>
      </c>
      <c r="T6" s="362">
        <v>480</v>
      </c>
      <c r="U6" s="362">
        <f t="shared" si="3"/>
        <v>3653</v>
      </c>
      <c r="V6" s="350">
        <v>2500</v>
      </c>
      <c r="W6" s="350">
        <v>1153</v>
      </c>
      <c r="X6" s="350">
        <v>801</v>
      </c>
      <c r="Y6" s="350">
        <f t="shared" si="4"/>
        <v>29181</v>
      </c>
      <c r="Z6" s="350">
        <v>24846</v>
      </c>
      <c r="AA6" s="350">
        <v>481</v>
      </c>
      <c r="AB6" s="350">
        <v>2381</v>
      </c>
      <c r="AC6" s="350">
        <v>1189</v>
      </c>
      <c r="AD6" s="350">
        <v>284</v>
      </c>
      <c r="AE6" s="350">
        <f t="shared" si="5"/>
        <v>78227</v>
      </c>
      <c r="AF6" s="350">
        <v>29000</v>
      </c>
      <c r="AG6" s="350">
        <v>38201</v>
      </c>
      <c r="AH6" s="350">
        <v>7214</v>
      </c>
      <c r="AI6" s="350">
        <v>1334</v>
      </c>
      <c r="AJ6" s="350">
        <v>2478</v>
      </c>
      <c r="AK6" s="350">
        <f t="shared" si="6"/>
        <v>622</v>
      </c>
      <c r="AL6" s="350">
        <v>622</v>
      </c>
      <c r="AM6" s="360">
        <v>0</v>
      </c>
      <c r="AN6" s="350">
        <f t="shared" si="7"/>
        <v>119158</v>
      </c>
      <c r="AO6" s="350">
        <v>19256</v>
      </c>
      <c r="AP6" s="350">
        <v>6192</v>
      </c>
      <c r="AQ6" s="350">
        <v>654</v>
      </c>
      <c r="AR6" s="350">
        <v>88500</v>
      </c>
      <c r="AS6" s="350">
        <v>4556</v>
      </c>
      <c r="AT6" s="350">
        <f t="shared" si="8"/>
        <v>10569</v>
      </c>
      <c r="AU6" s="350">
        <f t="shared" si="9"/>
        <v>8599</v>
      </c>
      <c r="AV6" s="350">
        <v>6800</v>
      </c>
      <c r="AW6" s="350">
        <v>1095</v>
      </c>
      <c r="AX6" s="350">
        <f t="shared" si="10"/>
        <v>704</v>
      </c>
      <c r="AY6" s="350">
        <v>34</v>
      </c>
      <c r="AZ6" s="350">
        <v>400</v>
      </c>
      <c r="BA6" s="350">
        <v>270</v>
      </c>
      <c r="BB6" s="350">
        <v>703</v>
      </c>
      <c r="BC6" s="350">
        <v>265</v>
      </c>
      <c r="BD6" s="350">
        <v>968</v>
      </c>
      <c r="BE6" s="351">
        <v>34</v>
      </c>
    </row>
    <row r="7" ht="20.1" customHeight="1" collapsed="1" spans="1:57">
      <c r="A7" s="337"/>
      <c r="B7" s="338" t="s">
        <v>17</v>
      </c>
      <c r="C7" s="339" t="s">
        <v>14</v>
      </c>
      <c r="D7" s="350">
        <f>1328214-41030</f>
        <v>1287184</v>
      </c>
      <c r="E7" s="350">
        <v>12962</v>
      </c>
      <c r="F7" s="350">
        <f t="shared" si="0"/>
        <v>152527</v>
      </c>
      <c r="G7" s="350">
        <v>106923</v>
      </c>
      <c r="H7" s="350">
        <v>94846</v>
      </c>
      <c r="I7" s="350">
        <v>18825</v>
      </c>
      <c r="J7" s="350">
        <v>617</v>
      </c>
      <c r="K7" s="360">
        <v>0</v>
      </c>
      <c r="L7" s="350">
        <v>22261</v>
      </c>
      <c r="M7" s="350">
        <v>11702</v>
      </c>
      <c r="N7" s="350">
        <v>5813</v>
      </c>
      <c r="O7" s="350">
        <v>5828</v>
      </c>
      <c r="P7" s="350">
        <f t="shared" si="1"/>
        <v>100859</v>
      </c>
      <c r="Q7" s="350">
        <f t="shared" si="2"/>
        <v>78935</v>
      </c>
      <c r="R7" s="350">
        <v>51357</v>
      </c>
      <c r="S7" s="350">
        <f>25599-BA7</f>
        <v>24482</v>
      </c>
      <c r="T7" s="362">
        <v>3096</v>
      </c>
      <c r="U7" s="362">
        <f t="shared" si="3"/>
        <v>16612</v>
      </c>
      <c r="V7" s="350">
        <v>10505</v>
      </c>
      <c r="W7" s="350">
        <v>6107</v>
      </c>
      <c r="X7" s="350">
        <v>5312</v>
      </c>
      <c r="Y7" s="350">
        <f t="shared" si="4"/>
        <v>212069</v>
      </c>
      <c r="Z7" s="350">
        <v>184856</v>
      </c>
      <c r="AA7" s="350">
        <v>2195</v>
      </c>
      <c r="AB7" s="350">
        <v>8997</v>
      </c>
      <c r="AC7" s="350">
        <v>9710</v>
      </c>
      <c r="AD7" s="350">
        <v>6311</v>
      </c>
      <c r="AE7" s="350">
        <f t="shared" si="5"/>
        <v>352365</v>
      </c>
      <c r="AF7" s="350">
        <v>110872</v>
      </c>
      <c r="AG7" s="350">
        <v>200061</v>
      </c>
      <c r="AH7" s="350">
        <v>26815</v>
      </c>
      <c r="AI7" s="350">
        <v>5136</v>
      </c>
      <c r="AJ7" s="350">
        <v>9481</v>
      </c>
      <c r="AK7" s="350">
        <f t="shared" si="6"/>
        <v>3959</v>
      </c>
      <c r="AL7" s="350">
        <v>3959</v>
      </c>
      <c r="AM7" s="360">
        <v>0</v>
      </c>
      <c r="AN7" s="350">
        <f t="shared" si="7"/>
        <v>442053</v>
      </c>
      <c r="AO7" s="350">
        <v>64224</v>
      </c>
      <c r="AP7" s="350">
        <v>51563</v>
      </c>
      <c r="AQ7" s="350">
        <v>1553</v>
      </c>
      <c r="AR7" s="350">
        <v>303623</v>
      </c>
      <c r="AS7" s="350">
        <v>21090</v>
      </c>
      <c r="AT7" s="350">
        <f t="shared" si="8"/>
        <v>49757</v>
      </c>
      <c r="AU7" s="350">
        <f t="shared" si="9"/>
        <v>42473</v>
      </c>
      <c r="AV7" s="350">
        <v>36094</v>
      </c>
      <c r="AW7" s="350">
        <v>3514</v>
      </c>
      <c r="AX7" s="350">
        <f t="shared" si="10"/>
        <v>2865</v>
      </c>
      <c r="AY7" s="350">
        <v>134</v>
      </c>
      <c r="AZ7" s="350">
        <v>1614</v>
      </c>
      <c r="BA7" s="350">
        <v>1117</v>
      </c>
      <c r="BB7" s="350">
        <v>2951</v>
      </c>
      <c r="BC7" s="350">
        <v>1115</v>
      </c>
      <c r="BD7" s="350">
        <v>2997</v>
      </c>
      <c r="BE7" s="351">
        <f>34+187</f>
        <v>221</v>
      </c>
    </row>
    <row r="8" ht="20.1" hidden="1" customHeight="1" outlineLevel="1" spans="1:57">
      <c r="A8" s="337"/>
      <c r="B8" s="338" t="s">
        <v>18</v>
      </c>
      <c r="C8" s="339" t="s">
        <v>14</v>
      </c>
      <c r="D8" s="350">
        <v>1387779</v>
      </c>
      <c r="E8" s="350">
        <v>12412</v>
      </c>
      <c r="F8" s="350">
        <f t="shared" si="0"/>
        <v>232595</v>
      </c>
      <c r="G8" s="350">
        <v>180553</v>
      </c>
      <c r="H8" s="350">
        <v>158452</v>
      </c>
      <c r="I8" s="350">
        <v>25247</v>
      </c>
      <c r="J8" s="350">
        <v>1539</v>
      </c>
      <c r="K8" s="360">
        <v>0</v>
      </c>
      <c r="L8" s="350">
        <v>31234</v>
      </c>
      <c r="M8" s="350">
        <v>10893</v>
      </c>
      <c r="N8" s="350">
        <v>3796</v>
      </c>
      <c r="O8" s="350">
        <v>6119</v>
      </c>
      <c r="P8" s="350">
        <f t="shared" si="1"/>
        <v>97055</v>
      </c>
      <c r="Q8" s="350">
        <f t="shared" si="2"/>
        <v>77782</v>
      </c>
      <c r="R8" s="350">
        <v>46417</v>
      </c>
      <c r="S8" s="350">
        <f>30319-BA8</f>
        <v>29056</v>
      </c>
      <c r="T8" s="362">
        <v>2309</v>
      </c>
      <c r="U8" s="362">
        <f t="shared" si="3"/>
        <v>15725</v>
      </c>
      <c r="V8" s="350">
        <v>12258</v>
      </c>
      <c r="W8" s="350">
        <v>3467</v>
      </c>
      <c r="X8" s="350">
        <v>3548</v>
      </c>
      <c r="Y8" s="350">
        <f t="shared" si="4"/>
        <v>180169</v>
      </c>
      <c r="Z8" s="350">
        <v>158279</v>
      </c>
      <c r="AA8" s="350">
        <v>430</v>
      </c>
      <c r="AB8" s="350">
        <v>9360</v>
      </c>
      <c r="AC8" s="350">
        <v>7135</v>
      </c>
      <c r="AD8" s="350">
        <v>4965</v>
      </c>
      <c r="AE8" s="350">
        <f t="shared" si="5"/>
        <v>357754</v>
      </c>
      <c r="AF8" s="350">
        <v>107019</v>
      </c>
      <c r="AG8" s="350">
        <v>205585</v>
      </c>
      <c r="AH8" s="350">
        <v>32105</v>
      </c>
      <c r="AI8" s="350">
        <v>5078</v>
      </c>
      <c r="AJ8" s="350">
        <v>7967</v>
      </c>
      <c r="AK8" s="350">
        <f t="shared" si="6"/>
        <v>1655</v>
      </c>
      <c r="AL8" s="350">
        <v>1655</v>
      </c>
      <c r="AM8" s="360">
        <v>0</v>
      </c>
      <c r="AN8" s="350">
        <f t="shared" si="7"/>
        <v>494282</v>
      </c>
      <c r="AO8" s="350">
        <v>82448</v>
      </c>
      <c r="AP8" s="350">
        <v>57734</v>
      </c>
      <c r="AQ8" s="350">
        <v>1067</v>
      </c>
      <c r="AR8" s="350">
        <f>353033</f>
        <v>353033</v>
      </c>
      <c r="AS8" s="360">
        <v>0</v>
      </c>
      <c r="AT8" s="350">
        <f t="shared" si="8"/>
        <v>58794</v>
      </c>
      <c r="AU8" s="350">
        <f t="shared" si="9"/>
        <v>51160</v>
      </c>
      <c r="AV8" s="350">
        <v>44846</v>
      </c>
      <c r="AW8" s="350">
        <v>3308</v>
      </c>
      <c r="AX8" s="350">
        <f t="shared" si="10"/>
        <v>3006</v>
      </c>
      <c r="AY8" s="350">
        <v>135</v>
      </c>
      <c r="AZ8" s="350">
        <v>1608</v>
      </c>
      <c r="BA8" s="350">
        <v>1263</v>
      </c>
      <c r="BB8" s="350">
        <v>3789</v>
      </c>
      <c r="BC8" s="350">
        <v>814</v>
      </c>
      <c r="BD8" s="350">
        <v>2836</v>
      </c>
      <c r="BE8" s="351">
        <v>195</v>
      </c>
    </row>
    <row r="9" ht="20.1" customHeight="1" collapsed="1" spans="1:57">
      <c r="A9" s="337"/>
      <c r="B9" s="338" t="s">
        <v>19</v>
      </c>
      <c r="C9" s="339" t="s">
        <v>14</v>
      </c>
      <c r="D9" s="350">
        <f>D7-D8</f>
        <v>-100595</v>
      </c>
      <c r="E9" s="350">
        <v>550</v>
      </c>
      <c r="F9" s="350">
        <f>F7-F8</f>
        <v>-80068</v>
      </c>
      <c r="G9" s="350">
        <v>-73630</v>
      </c>
      <c r="H9" s="350">
        <v>-63606</v>
      </c>
      <c r="I9" s="350">
        <v>-6422</v>
      </c>
      <c r="J9" s="350">
        <v>-923</v>
      </c>
      <c r="K9" s="360">
        <v>0</v>
      </c>
      <c r="L9" s="350">
        <v>-8973</v>
      </c>
      <c r="M9" s="350">
        <v>809</v>
      </c>
      <c r="N9" s="350">
        <v>2017</v>
      </c>
      <c r="O9" s="350">
        <v>-291</v>
      </c>
      <c r="P9" s="350">
        <f t="shared" ref="P9:S9" si="11">P7-P8</f>
        <v>3804</v>
      </c>
      <c r="Q9" s="350">
        <f t="shared" si="11"/>
        <v>1153</v>
      </c>
      <c r="R9" s="350">
        <v>4940</v>
      </c>
      <c r="S9" s="350">
        <f t="shared" si="11"/>
        <v>-4574</v>
      </c>
      <c r="T9" s="350">
        <v>787</v>
      </c>
      <c r="U9" s="350">
        <f>U7-U8</f>
        <v>887</v>
      </c>
      <c r="V9" s="350">
        <v>-1753</v>
      </c>
      <c r="W9" s="350">
        <v>2641</v>
      </c>
      <c r="X9" s="350">
        <v>1763</v>
      </c>
      <c r="Y9" s="350">
        <f>Y7-Y8</f>
        <v>31900</v>
      </c>
      <c r="Z9" s="350">
        <v>26578</v>
      </c>
      <c r="AA9" s="350">
        <v>1765</v>
      </c>
      <c r="AB9" s="350">
        <v>-363</v>
      </c>
      <c r="AC9" s="350">
        <v>2574</v>
      </c>
      <c r="AD9" s="350">
        <v>1346</v>
      </c>
      <c r="AE9" s="350">
        <f>AE7-AE8</f>
        <v>-5389</v>
      </c>
      <c r="AF9" s="350">
        <v>3853</v>
      </c>
      <c r="AG9" s="350">
        <v>-5524</v>
      </c>
      <c r="AH9" s="350">
        <v>-5289</v>
      </c>
      <c r="AI9" s="350">
        <v>59</v>
      </c>
      <c r="AJ9" s="350">
        <v>1514</v>
      </c>
      <c r="AK9" s="350">
        <f>AK7-AK8</f>
        <v>2304</v>
      </c>
      <c r="AL9" s="350">
        <v>2304</v>
      </c>
      <c r="AM9" s="360">
        <v>0</v>
      </c>
      <c r="AN9" s="350">
        <f>AN7-AN8</f>
        <v>-52229</v>
      </c>
      <c r="AO9" s="350">
        <v>-18224</v>
      </c>
      <c r="AP9" s="350">
        <v>-6171</v>
      </c>
      <c r="AQ9" s="350">
        <v>487</v>
      </c>
      <c r="AR9" s="350">
        <v>-49410</v>
      </c>
      <c r="AS9" s="360">
        <v>0</v>
      </c>
      <c r="AT9" s="350">
        <f t="shared" ref="AT9:AX9" si="12">AT7-AT8</f>
        <v>-9037</v>
      </c>
      <c r="AU9" s="350">
        <f t="shared" si="12"/>
        <v>-8687</v>
      </c>
      <c r="AV9" s="350">
        <v>-8752</v>
      </c>
      <c r="AW9" s="350">
        <v>206</v>
      </c>
      <c r="AX9" s="350">
        <f t="shared" si="12"/>
        <v>-141</v>
      </c>
      <c r="AY9" s="350">
        <v>0</v>
      </c>
      <c r="AZ9" s="350">
        <v>5</v>
      </c>
      <c r="BA9" s="350">
        <f>BA7-BA8</f>
        <v>-146</v>
      </c>
      <c r="BB9" s="350">
        <v>-838</v>
      </c>
      <c r="BC9" s="350">
        <v>301</v>
      </c>
      <c r="BD9" s="350">
        <v>161</v>
      </c>
      <c r="BE9" s="367">
        <f>BE7-BE8</f>
        <v>26</v>
      </c>
    </row>
    <row r="10" ht="20.1" customHeight="1" spans="1:57">
      <c r="A10" s="337"/>
      <c r="B10" s="338" t="s">
        <v>20</v>
      </c>
      <c r="C10" s="339" t="s">
        <v>21</v>
      </c>
      <c r="D10" s="352">
        <f>D7/D8*100-100</f>
        <v>-7.24863252722515</v>
      </c>
      <c r="E10" s="350">
        <v>4.4</v>
      </c>
      <c r="F10" s="352">
        <f>F7/F8*100-100</f>
        <v>-34.4237838302629</v>
      </c>
      <c r="G10" s="350">
        <v>-40.8</v>
      </c>
      <c r="H10" s="350">
        <v>-40.1</v>
      </c>
      <c r="I10" s="350">
        <v>-25.4</v>
      </c>
      <c r="J10" s="350">
        <v>-59.9</v>
      </c>
      <c r="K10" s="360" t="s">
        <v>25</v>
      </c>
      <c r="L10" s="350">
        <v>-28.7</v>
      </c>
      <c r="M10" s="350">
        <v>7.4</v>
      </c>
      <c r="N10" s="350">
        <v>53.1</v>
      </c>
      <c r="O10" s="350">
        <v>-4.8</v>
      </c>
      <c r="P10" s="352">
        <f t="shared" ref="P10:S10" si="13">P7/P8*100-100</f>
        <v>3.9194271289475</v>
      </c>
      <c r="Q10" s="352">
        <f t="shared" si="13"/>
        <v>1.48234810110309</v>
      </c>
      <c r="R10" s="350">
        <v>10.6</v>
      </c>
      <c r="S10" s="352">
        <f t="shared" si="13"/>
        <v>-15.7420154185022</v>
      </c>
      <c r="T10" s="350">
        <v>34.1</v>
      </c>
      <c r="U10" s="352">
        <f>U7/U8*100-100</f>
        <v>5.64069952305246</v>
      </c>
      <c r="V10" s="350">
        <v>-14.3</v>
      </c>
      <c r="W10" s="350">
        <v>76.2</v>
      </c>
      <c r="X10" s="350">
        <v>49.7</v>
      </c>
      <c r="Y10" s="352">
        <f>Y7/Y8*100-100</f>
        <v>17.7055986323951</v>
      </c>
      <c r="Z10" s="350">
        <v>16.8</v>
      </c>
      <c r="AA10" s="350">
        <v>410.6</v>
      </c>
      <c r="AB10" s="350">
        <v>-3.9</v>
      </c>
      <c r="AC10" s="350">
        <v>36.1</v>
      </c>
      <c r="AD10" s="350">
        <v>27.1</v>
      </c>
      <c r="AE10" s="352">
        <f>AE7/AE8*100-100</f>
        <v>-1.50634234697586</v>
      </c>
      <c r="AF10" s="350">
        <v>3.6</v>
      </c>
      <c r="AG10" s="350">
        <v>-2.7</v>
      </c>
      <c r="AH10" s="350">
        <v>-16.5</v>
      </c>
      <c r="AI10" s="350">
        <v>1.2</v>
      </c>
      <c r="AJ10" s="350">
        <v>19</v>
      </c>
      <c r="AK10" s="352">
        <f>AK7/AK8*100-100</f>
        <v>139.214501510574</v>
      </c>
      <c r="AL10" s="350">
        <v>139.2</v>
      </c>
      <c r="AM10" s="350" t="s">
        <v>25</v>
      </c>
      <c r="AN10" s="352">
        <f>AN7/AN8*100-100</f>
        <v>-10.5666400961395</v>
      </c>
      <c r="AO10" s="350">
        <v>-22.1</v>
      </c>
      <c r="AP10" s="350">
        <v>-10.7</v>
      </c>
      <c r="AQ10" s="350">
        <v>45.6</v>
      </c>
      <c r="AR10" s="350">
        <v>-14</v>
      </c>
      <c r="AS10" s="360">
        <v>0</v>
      </c>
      <c r="AT10" s="352">
        <f t="shared" ref="AT10:AX10" si="14">AT7/AT8*100-100</f>
        <v>-15.3706160492567</v>
      </c>
      <c r="AU10" s="352">
        <f t="shared" si="14"/>
        <v>-16.9800625488663</v>
      </c>
      <c r="AV10" s="350">
        <v>-19.5</v>
      </c>
      <c r="AW10" s="350">
        <v>6.2</v>
      </c>
      <c r="AX10" s="352">
        <f t="shared" si="14"/>
        <v>-4.69061876247505</v>
      </c>
      <c r="AY10" s="350">
        <v>-0.1</v>
      </c>
      <c r="AZ10" s="350">
        <v>0.3</v>
      </c>
      <c r="BA10" s="352">
        <f>BA7/BA8*100-100</f>
        <v>-11.5597783056215</v>
      </c>
      <c r="BB10" s="350">
        <v>-22.1</v>
      </c>
      <c r="BC10" s="350">
        <v>36.9</v>
      </c>
      <c r="BD10" s="350">
        <v>5.7</v>
      </c>
      <c r="BE10" s="353">
        <f>BE7/BE8*100-100</f>
        <v>13.3333333333333</v>
      </c>
    </row>
    <row r="11" ht="20.1" customHeight="1" spans="1:57">
      <c r="A11" s="337"/>
      <c r="B11" s="338" t="s">
        <v>22</v>
      </c>
      <c r="C11" s="339" t="s">
        <v>21</v>
      </c>
      <c r="D11" s="352">
        <f>D7/D5*100</f>
        <v>27.0986105263158</v>
      </c>
      <c r="E11" s="350" t="s">
        <v>25</v>
      </c>
      <c r="F11" s="352">
        <f>F7/F5*100</f>
        <v>18.8467811689114</v>
      </c>
      <c r="G11" s="352">
        <v>17.3</v>
      </c>
      <c r="H11" s="350">
        <v>18.2</v>
      </c>
      <c r="I11" s="350">
        <v>31.4</v>
      </c>
      <c r="J11" s="350">
        <v>1.8</v>
      </c>
      <c r="K11" s="360">
        <v>0</v>
      </c>
      <c r="L11" s="350">
        <v>24.7</v>
      </c>
      <c r="M11" s="350">
        <v>26</v>
      </c>
      <c r="N11" s="350">
        <v>21.5</v>
      </c>
      <c r="O11" s="350">
        <v>22.4</v>
      </c>
      <c r="P11" s="352">
        <f t="shared" ref="P11:S11" si="15">P7/P5*100</f>
        <v>21.6901075268817</v>
      </c>
      <c r="Q11" s="352">
        <f t="shared" si="15"/>
        <v>22.1727528089888</v>
      </c>
      <c r="R11" s="350">
        <v>20.5</v>
      </c>
      <c r="S11" s="352">
        <f t="shared" si="15"/>
        <v>23.0962264150943</v>
      </c>
      <c r="T11" s="350" t="s">
        <v>25</v>
      </c>
      <c r="U11" s="352">
        <f>U7/U5*100</f>
        <v>21.0278481012658</v>
      </c>
      <c r="V11" s="350">
        <v>19.5</v>
      </c>
      <c r="W11" s="350">
        <v>24.4</v>
      </c>
      <c r="X11" s="350">
        <v>17.7</v>
      </c>
      <c r="Y11" s="352">
        <f>Y7/Y5*100</f>
        <v>27.1674353061747</v>
      </c>
      <c r="Z11" s="350">
        <v>27.6</v>
      </c>
      <c r="AA11" s="350">
        <v>22</v>
      </c>
      <c r="AB11" s="350">
        <v>31.5</v>
      </c>
      <c r="AC11" s="350">
        <v>26.2</v>
      </c>
      <c r="AD11" s="350">
        <v>18</v>
      </c>
      <c r="AE11" s="352">
        <f>AE7/AE5*100</f>
        <v>32.5360110803324</v>
      </c>
      <c r="AF11" s="350">
        <v>31.7</v>
      </c>
      <c r="AG11" s="350">
        <v>35.7</v>
      </c>
      <c r="AH11" s="350">
        <v>26.8</v>
      </c>
      <c r="AI11" s="350">
        <v>22.3</v>
      </c>
      <c r="AJ11" s="350">
        <v>19</v>
      </c>
      <c r="AK11" s="352">
        <f>AK7/AK5*100</f>
        <v>13.1966666666667</v>
      </c>
      <c r="AL11" s="350">
        <v>19.8</v>
      </c>
      <c r="AM11" s="350" t="s">
        <v>25</v>
      </c>
      <c r="AN11" s="352">
        <f>AN7/AN5*100</f>
        <v>24.7012181493071</v>
      </c>
      <c r="AO11" s="350">
        <v>29.2</v>
      </c>
      <c r="AP11" s="350">
        <v>31.4</v>
      </c>
      <c r="AQ11" s="350">
        <v>27.7</v>
      </c>
      <c r="AR11" s="350">
        <v>30.4</v>
      </c>
      <c r="AS11" s="350">
        <v>5.3</v>
      </c>
      <c r="AT11" s="352">
        <f t="shared" ref="AT11:BA11" si="16">AT7/AT5*100</f>
        <v>30.137492428831</v>
      </c>
      <c r="AU11" s="352">
        <f t="shared" si="16"/>
        <v>29.4746703678001</v>
      </c>
      <c r="AV11" s="350">
        <v>30.1</v>
      </c>
      <c r="AW11" s="350">
        <v>23.4</v>
      </c>
      <c r="AX11" s="352">
        <f t="shared" si="16"/>
        <v>31.4835164835165</v>
      </c>
      <c r="AY11" s="352">
        <f t="shared" si="16"/>
        <v>33.5</v>
      </c>
      <c r="AZ11" s="352">
        <f t="shared" si="16"/>
        <v>31.6470588235294</v>
      </c>
      <c r="BA11" s="352">
        <f t="shared" si="16"/>
        <v>31.0277777777778</v>
      </c>
      <c r="BB11" s="350">
        <v>29.5</v>
      </c>
      <c r="BC11" s="350">
        <v>37.2</v>
      </c>
      <c r="BD11" s="352">
        <f>BD8/BD5*100</f>
        <v>37.8133333333333</v>
      </c>
      <c r="BE11" s="351">
        <f>BE7/BE5*100</f>
        <v>44.2</v>
      </c>
    </row>
    <row r="12" ht="20.1" customHeight="1" spans="1:57">
      <c r="A12" s="337" t="s">
        <v>23</v>
      </c>
      <c r="B12" s="338" t="s">
        <v>13</v>
      </c>
      <c r="C12" s="339" t="s">
        <v>14</v>
      </c>
      <c r="D12" s="350">
        <v>100000</v>
      </c>
      <c r="E12" s="350" t="s">
        <v>25</v>
      </c>
      <c r="F12" s="350">
        <f t="shared" ref="F12:F15" si="17">G12+K12+L12+M12+N12+O12</f>
        <v>50900</v>
      </c>
      <c r="G12" s="350">
        <v>35100</v>
      </c>
      <c r="H12" s="350">
        <v>25000</v>
      </c>
      <c r="I12" s="350">
        <v>1500</v>
      </c>
      <c r="J12" s="350">
        <v>8500</v>
      </c>
      <c r="K12" s="350">
        <v>-4600</v>
      </c>
      <c r="L12" s="350">
        <v>8000</v>
      </c>
      <c r="M12" s="350">
        <v>6600</v>
      </c>
      <c r="N12" s="350">
        <v>3300</v>
      </c>
      <c r="O12" s="350">
        <v>2500</v>
      </c>
      <c r="P12" s="350">
        <f t="shared" ref="P12:P15" si="18">Q12+U12+X12</f>
        <v>19300</v>
      </c>
      <c r="Q12" s="350">
        <f t="shared" ref="Q12:Q15" si="19">R12+S12+T12</f>
        <v>7300</v>
      </c>
      <c r="R12" s="350">
        <v>3400</v>
      </c>
      <c r="S12" s="350">
        <v>3900</v>
      </c>
      <c r="T12" s="361">
        <v>0</v>
      </c>
      <c r="U12" s="362">
        <f t="shared" ref="U12:U15" si="20">V12+W12</f>
        <v>9500</v>
      </c>
      <c r="V12" s="350">
        <v>8300</v>
      </c>
      <c r="W12" s="350">
        <v>1200</v>
      </c>
      <c r="X12" s="350">
        <v>2500</v>
      </c>
      <c r="Y12" s="350">
        <f t="shared" ref="Y12:Y15" si="21">Z12+AA12+AB12+AC12+AD12</f>
        <v>12700</v>
      </c>
      <c r="Z12" s="350">
        <v>6000</v>
      </c>
      <c r="AA12" s="350">
        <v>1200</v>
      </c>
      <c r="AB12" s="350">
        <v>100</v>
      </c>
      <c r="AC12" s="350">
        <v>3400</v>
      </c>
      <c r="AD12" s="350">
        <v>2000</v>
      </c>
      <c r="AE12" s="350">
        <f t="shared" ref="AE12:AE15" si="22">AF12+AG12+AH12+AI12+AJ12</f>
        <v>60000</v>
      </c>
      <c r="AF12" s="350">
        <v>43000</v>
      </c>
      <c r="AG12" s="350">
        <v>10000</v>
      </c>
      <c r="AH12" s="350">
        <v>1000</v>
      </c>
      <c r="AI12" s="350">
        <v>5500</v>
      </c>
      <c r="AJ12" s="350">
        <v>500</v>
      </c>
      <c r="AK12" s="350">
        <f t="shared" ref="AK12:AK15" si="23">AL12+AM12</f>
        <v>-700</v>
      </c>
      <c r="AL12" s="350">
        <v>-700</v>
      </c>
      <c r="AM12" s="360">
        <v>0</v>
      </c>
      <c r="AN12" s="350">
        <f t="shared" ref="AN12:AN15" si="24">AO12+AP12+AQ12+AR12+AS12</f>
        <v>11880</v>
      </c>
      <c r="AO12" s="350">
        <v>7000</v>
      </c>
      <c r="AP12" s="350">
        <v>3600</v>
      </c>
      <c r="AQ12" s="350">
        <v>100</v>
      </c>
      <c r="AR12" s="350">
        <v>1000</v>
      </c>
      <c r="AS12" s="350">
        <v>180</v>
      </c>
      <c r="AT12" s="350">
        <f t="shared" ref="AT12:AT15" si="25">AU12+BB12+BC12+BD12+BE12</f>
        <v>5930</v>
      </c>
      <c r="AU12" s="350">
        <f t="shared" ref="AU12:AU15" si="26">AV12+AW12+AX12</f>
        <v>5350</v>
      </c>
      <c r="AV12" s="350">
        <v>400</v>
      </c>
      <c r="AW12" s="350">
        <v>550</v>
      </c>
      <c r="AX12" s="350">
        <f t="shared" ref="AX12:AX15" si="27">AY12+AZ12+BA12</f>
        <v>4400</v>
      </c>
      <c r="AY12" s="350">
        <v>-400</v>
      </c>
      <c r="AZ12" s="350">
        <v>2500</v>
      </c>
      <c r="BA12" s="350">
        <v>2300</v>
      </c>
      <c r="BB12" s="350">
        <v>-400</v>
      </c>
      <c r="BC12" s="350">
        <v>180</v>
      </c>
      <c r="BD12" s="350">
        <v>500</v>
      </c>
      <c r="BE12" s="351">
        <v>300</v>
      </c>
    </row>
    <row r="13" ht="20.1" hidden="1" customHeight="1" outlineLevel="1" spans="1:57">
      <c r="A13" s="337"/>
      <c r="B13" s="338" t="s">
        <v>16</v>
      </c>
      <c r="C13" s="339" t="s">
        <v>14</v>
      </c>
      <c r="D13" s="350">
        <f>21096-10620-159</f>
        <v>10317</v>
      </c>
      <c r="E13" s="350">
        <f>9891-10620</f>
        <v>-729</v>
      </c>
      <c r="F13" s="350">
        <f t="shared" si="17"/>
        <v>-340</v>
      </c>
      <c r="G13" s="350">
        <f>-264-K13</f>
        <v>398</v>
      </c>
      <c r="H13" s="350">
        <v>227</v>
      </c>
      <c r="I13" s="350">
        <v>-151</v>
      </c>
      <c r="J13" s="350">
        <v>314</v>
      </c>
      <c r="K13" s="350">
        <v>-662</v>
      </c>
      <c r="L13" s="350">
        <v>150</v>
      </c>
      <c r="M13" s="350">
        <v>250</v>
      </c>
      <c r="N13" s="350">
        <v>-150</v>
      </c>
      <c r="O13" s="350">
        <v>-326</v>
      </c>
      <c r="P13" s="350">
        <f t="shared" si="18"/>
        <v>723</v>
      </c>
      <c r="Q13" s="350">
        <f t="shared" si="19"/>
        <v>648</v>
      </c>
      <c r="R13" s="350">
        <v>333</v>
      </c>
      <c r="S13" s="350">
        <f>485-BA13</f>
        <v>305</v>
      </c>
      <c r="T13" s="362">
        <v>10</v>
      </c>
      <c r="U13" s="362">
        <f t="shared" si="20"/>
        <v>225</v>
      </c>
      <c r="V13" s="350">
        <v>200</v>
      </c>
      <c r="W13" s="350">
        <f>5+20</f>
        <v>25</v>
      </c>
      <c r="X13" s="350">
        <v>-150</v>
      </c>
      <c r="Y13" s="350">
        <f t="shared" si="21"/>
        <v>-491</v>
      </c>
      <c r="Z13" s="350">
        <v>168</v>
      </c>
      <c r="AA13" s="350">
        <v>-72</v>
      </c>
      <c r="AB13" s="350">
        <v>-296</v>
      </c>
      <c r="AC13" s="350">
        <v>108</v>
      </c>
      <c r="AD13" s="350">
        <v>-399</v>
      </c>
      <c r="AE13" s="350">
        <f t="shared" si="22"/>
        <v>4985</v>
      </c>
      <c r="AF13" s="350">
        <v>4611</v>
      </c>
      <c r="AG13" s="350">
        <f>6023-5150</f>
        <v>873</v>
      </c>
      <c r="AH13" s="350">
        <v>-44</v>
      </c>
      <c r="AI13" s="350">
        <v>-115</v>
      </c>
      <c r="AJ13" s="350">
        <v>-340</v>
      </c>
      <c r="AK13" s="350">
        <f t="shared" si="23"/>
        <v>-349</v>
      </c>
      <c r="AL13" s="350">
        <v>-134</v>
      </c>
      <c r="AM13" s="350">
        <v>-215</v>
      </c>
      <c r="AN13" s="350">
        <f t="shared" si="24"/>
        <v>676</v>
      </c>
      <c r="AO13" s="350">
        <v>639</v>
      </c>
      <c r="AP13" s="350">
        <v>50</v>
      </c>
      <c r="AQ13" s="350">
        <v>-120</v>
      </c>
      <c r="AR13" s="350">
        <v>110</v>
      </c>
      <c r="AS13" s="350">
        <v>-3</v>
      </c>
      <c r="AT13" s="350">
        <f t="shared" si="25"/>
        <v>537</v>
      </c>
      <c r="AU13" s="350">
        <f t="shared" si="26"/>
        <v>205</v>
      </c>
      <c r="AV13" s="350">
        <f>107-195</f>
        <v>-88</v>
      </c>
      <c r="AW13" s="350">
        <v>-40</v>
      </c>
      <c r="AX13" s="350">
        <f t="shared" si="27"/>
        <v>333</v>
      </c>
      <c r="AY13" s="350">
        <v>18</v>
      </c>
      <c r="AZ13" s="350">
        <v>135</v>
      </c>
      <c r="BA13" s="350">
        <v>180</v>
      </c>
      <c r="BB13" s="350">
        <v>-29</v>
      </c>
      <c r="BC13" s="350">
        <v>15</v>
      </c>
      <c r="BD13" s="350">
        <v>369</v>
      </c>
      <c r="BE13" s="351">
        <v>-23</v>
      </c>
    </row>
    <row r="14" ht="20.1" customHeight="1" collapsed="1" spans="1:57">
      <c r="A14" s="337"/>
      <c r="B14" s="338" t="s">
        <v>17</v>
      </c>
      <c r="C14" s="339" t="s">
        <v>14</v>
      </c>
      <c r="D14" s="350">
        <f>31620-10620-159</f>
        <v>20841</v>
      </c>
      <c r="E14" s="350">
        <f>5654-10620</f>
        <v>-4966</v>
      </c>
      <c r="F14" s="350">
        <f t="shared" si="17"/>
        <v>-6288</v>
      </c>
      <c r="G14" s="350">
        <f>-10592-K14</f>
        <v>-9476</v>
      </c>
      <c r="H14" s="350">
        <v>-9570</v>
      </c>
      <c r="I14" s="350">
        <v>114</v>
      </c>
      <c r="J14" s="350">
        <v>-41</v>
      </c>
      <c r="K14" s="350">
        <v>-1116</v>
      </c>
      <c r="L14" s="350">
        <v>2695</v>
      </c>
      <c r="M14" s="350">
        <v>1630</v>
      </c>
      <c r="N14" s="350">
        <v>278</v>
      </c>
      <c r="O14" s="350">
        <v>-299</v>
      </c>
      <c r="P14" s="350">
        <f t="shared" si="18"/>
        <v>3337</v>
      </c>
      <c r="Q14" s="350">
        <f t="shared" si="19"/>
        <v>2020</v>
      </c>
      <c r="R14" s="350">
        <v>845</v>
      </c>
      <c r="S14" s="350">
        <f>1729-BA14</f>
        <v>1009</v>
      </c>
      <c r="T14" s="362">
        <v>166</v>
      </c>
      <c r="U14" s="362">
        <f t="shared" si="20"/>
        <v>1314</v>
      </c>
      <c r="V14" s="350">
        <v>1214</v>
      </c>
      <c r="W14" s="350">
        <f>75+25</f>
        <v>100</v>
      </c>
      <c r="X14" s="350">
        <v>3</v>
      </c>
      <c r="Y14" s="350">
        <f t="shared" si="21"/>
        <v>1355</v>
      </c>
      <c r="Z14" s="350">
        <v>920</v>
      </c>
      <c r="AA14" s="350">
        <v>87</v>
      </c>
      <c r="AB14" s="350">
        <v>-276</v>
      </c>
      <c r="AC14" s="350">
        <v>818</v>
      </c>
      <c r="AD14" s="350">
        <v>-194</v>
      </c>
      <c r="AE14" s="350">
        <f t="shared" si="22"/>
        <v>15573</v>
      </c>
      <c r="AF14" s="350">
        <v>15205</v>
      </c>
      <c r="AG14" s="350">
        <f>6329-5150</f>
        <v>1179</v>
      </c>
      <c r="AH14" s="350">
        <v>-995</v>
      </c>
      <c r="AI14" s="350">
        <v>624</v>
      </c>
      <c r="AJ14" s="350">
        <v>-440</v>
      </c>
      <c r="AK14" s="350">
        <f t="shared" si="23"/>
        <v>-930</v>
      </c>
      <c r="AL14" s="350">
        <v>-524</v>
      </c>
      <c r="AM14" s="350">
        <v>-406</v>
      </c>
      <c r="AN14" s="350">
        <f t="shared" si="24"/>
        <v>3335</v>
      </c>
      <c r="AO14" s="350">
        <v>2085</v>
      </c>
      <c r="AP14" s="350">
        <v>1265</v>
      </c>
      <c r="AQ14" s="350">
        <v>-277</v>
      </c>
      <c r="AR14" s="350">
        <v>203</v>
      </c>
      <c r="AS14" s="350">
        <v>59</v>
      </c>
      <c r="AT14" s="350">
        <f t="shared" si="25"/>
        <v>5307</v>
      </c>
      <c r="AU14" s="350">
        <f t="shared" si="26"/>
        <v>1064</v>
      </c>
      <c r="AV14" s="350">
        <f>18-75</f>
        <v>-57</v>
      </c>
      <c r="AW14" s="350">
        <v>-236</v>
      </c>
      <c r="AX14" s="350">
        <f t="shared" si="27"/>
        <v>1357</v>
      </c>
      <c r="AY14" s="350">
        <v>57</v>
      </c>
      <c r="AZ14" s="350">
        <v>580</v>
      </c>
      <c r="BA14" s="350">
        <f>180+540</f>
        <v>720</v>
      </c>
      <c r="BB14" s="350">
        <v>-7</v>
      </c>
      <c r="BC14" s="350">
        <v>61</v>
      </c>
      <c r="BD14" s="350">
        <v>573</v>
      </c>
      <c r="BE14" s="351">
        <v>3616</v>
      </c>
    </row>
    <row r="15" ht="20.1" hidden="1" customHeight="1" outlineLevel="1" spans="1:57">
      <c r="A15" s="337"/>
      <c r="B15" s="338" t="s">
        <v>18</v>
      </c>
      <c r="C15" s="339" t="s">
        <v>14</v>
      </c>
      <c r="D15" s="350">
        <v>26907</v>
      </c>
      <c r="E15" s="350">
        <v>-9541</v>
      </c>
      <c r="F15" s="350">
        <f t="shared" si="17"/>
        <v>13209</v>
      </c>
      <c r="G15" s="350">
        <f>7893-K15</f>
        <v>8431</v>
      </c>
      <c r="H15" s="350">
        <v>7730</v>
      </c>
      <c r="I15" s="350">
        <v>339</v>
      </c>
      <c r="J15" s="350">
        <v>343</v>
      </c>
      <c r="K15" s="350">
        <v>-538</v>
      </c>
      <c r="L15" s="350">
        <v>2892</v>
      </c>
      <c r="M15" s="350">
        <v>2059</v>
      </c>
      <c r="N15" s="350">
        <v>35</v>
      </c>
      <c r="O15" s="350">
        <v>330</v>
      </c>
      <c r="P15" s="350">
        <f t="shared" si="18"/>
        <v>2370</v>
      </c>
      <c r="Q15" s="350">
        <f t="shared" si="19"/>
        <v>1130</v>
      </c>
      <c r="R15" s="350">
        <v>384</v>
      </c>
      <c r="S15" s="350">
        <f>1889-BA15</f>
        <v>1017</v>
      </c>
      <c r="T15" s="362">
        <v>-271</v>
      </c>
      <c r="U15" s="362">
        <f t="shared" si="20"/>
        <v>1408</v>
      </c>
      <c r="V15" s="350">
        <v>1367</v>
      </c>
      <c r="W15" s="350">
        <v>41</v>
      </c>
      <c r="X15" s="350">
        <v>-168</v>
      </c>
      <c r="Y15" s="350">
        <f t="shared" si="21"/>
        <v>1339</v>
      </c>
      <c r="Z15" s="350">
        <v>932</v>
      </c>
      <c r="AA15" s="350">
        <v>-85</v>
      </c>
      <c r="AB15" s="350">
        <v>66</v>
      </c>
      <c r="AC15" s="350">
        <v>622</v>
      </c>
      <c r="AD15" s="350">
        <v>-196</v>
      </c>
      <c r="AE15" s="350">
        <f t="shared" si="22"/>
        <v>12913</v>
      </c>
      <c r="AF15" s="350">
        <v>12201</v>
      </c>
      <c r="AG15" s="350">
        <v>215</v>
      </c>
      <c r="AH15" s="350">
        <v>233</v>
      </c>
      <c r="AI15" s="350">
        <v>1364</v>
      </c>
      <c r="AJ15" s="350">
        <v>-1100</v>
      </c>
      <c r="AK15" s="350">
        <f t="shared" si="23"/>
        <v>-740</v>
      </c>
      <c r="AL15" s="350">
        <v>-740</v>
      </c>
      <c r="AM15" s="360">
        <v>0</v>
      </c>
      <c r="AN15" s="350">
        <f t="shared" si="24"/>
        <v>6908</v>
      </c>
      <c r="AO15" s="350">
        <v>5528</v>
      </c>
      <c r="AP15" s="350">
        <v>1212</v>
      </c>
      <c r="AQ15" s="350">
        <v>-239</v>
      </c>
      <c r="AR15" s="350">
        <v>407</v>
      </c>
      <c r="AS15" s="360">
        <v>0</v>
      </c>
      <c r="AT15" s="350">
        <f t="shared" si="25"/>
        <v>2004</v>
      </c>
      <c r="AU15" s="350">
        <f t="shared" si="26"/>
        <v>1768</v>
      </c>
      <c r="AV15" s="350">
        <v>117</v>
      </c>
      <c r="AW15" s="350">
        <v>25</v>
      </c>
      <c r="AX15" s="350">
        <f t="shared" si="27"/>
        <v>1626</v>
      </c>
      <c r="AY15" s="350">
        <v>-7</v>
      </c>
      <c r="AZ15" s="350">
        <v>761</v>
      </c>
      <c r="BA15" s="350">
        <v>872</v>
      </c>
      <c r="BB15" s="350">
        <v>7</v>
      </c>
      <c r="BC15" s="350">
        <v>46</v>
      </c>
      <c r="BD15" s="350">
        <v>171</v>
      </c>
      <c r="BE15" s="351">
        <v>12</v>
      </c>
    </row>
    <row r="16" ht="20.1" customHeight="1" collapsed="1" spans="1:57">
      <c r="A16" s="337"/>
      <c r="B16" s="338" t="s">
        <v>19</v>
      </c>
      <c r="C16" s="339" t="s">
        <v>14</v>
      </c>
      <c r="D16" s="350">
        <f t="shared" ref="D16:G16" si="28">D14-D15</f>
        <v>-6066</v>
      </c>
      <c r="E16" s="350">
        <f t="shared" si="28"/>
        <v>4575</v>
      </c>
      <c r="F16" s="350">
        <f t="shared" si="28"/>
        <v>-19497</v>
      </c>
      <c r="G16" s="350">
        <f t="shared" si="28"/>
        <v>-17907</v>
      </c>
      <c r="H16" s="350">
        <v>-17300</v>
      </c>
      <c r="I16" s="350">
        <v>-226</v>
      </c>
      <c r="J16" s="350">
        <v>-384</v>
      </c>
      <c r="K16" s="350">
        <v>-578</v>
      </c>
      <c r="L16" s="350">
        <v>-197</v>
      </c>
      <c r="M16" s="350">
        <v>-429</v>
      </c>
      <c r="N16" s="350">
        <v>243</v>
      </c>
      <c r="O16" s="350">
        <v>-629</v>
      </c>
      <c r="P16" s="350">
        <f t="shared" ref="P16:S16" si="29">P14-P15</f>
        <v>967</v>
      </c>
      <c r="Q16" s="350">
        <f t="shared" si="29"/>
        <v>890</v>
      </c>
      <c r="R16" s="350">
        <v>461</v>
      </c>
      <c r="S16" s="350">
        <f t="shared" si="29"/>
        <v>-8</v>
      </c>
      <c r="T16" s="350">
        <v>436</v>
      </c>
      <c r="U16" s="350">
        <f t="shared" ref="U16:Y16" si="30">U14-U15</f>
        <v>-94</v>
      </c>
      <c r="V16" s="350">
        <v>-153</v>
      </c>
      <c r="W16" s="350">
        <f t="shared" si="30"/>
        <v>59</v>
      </c>
      <c r="X16" s="350">
        <v>171</v>
      </c>
      <c r="Y16" s="350">
        <f t="shared" si="30"/>
        <v>16</v>
      </c>
      <c r="Z16" s="350">
        <v>-12</v>
      </c>
      <c r="AA16" s="350">
        <v>172</v>
      </c>
      <c r="AB16" s="350">
        <v>-342</v>
      </c>
      <c r="AC16" s="350">
        <v>196</v>
      </c>
      <c r="AD16" s="350">
        <v>2</v>
      </c>
      <c r="AE16" s="350">
        <f>AE14-AE15</f>
        <v>2660</v>
      </c>
      <c r="AF16" s="350">
        <v>3004</v>
      </c>
      <c r="AG16" s="350">
        <v>6114</v>
      </c>
      <c r="AH16" s="350">
        <v>-1228</v>
      </c>
      <c r="AI16" s="350">
        <v>-740</v>
      </c>
      <c r="AJ16" s="350">
        <v>660</v>
      </c>
      <c r="AK16" s="350">
        <f>AK14-AK15</f>
        <v>-190</v>
      </c>
      <c r="AL16" s="350">
        <v>216</v>
      </c>
      <c r="AM16" s="360">
        <v>0</v>
      </c>
      <c r="AN16" s="350">
        <f>AN14-AN15</f>
        <v>-3573</v>
      </c>
      <c r="AO16" s="350">
        <v>-3443</v>
      </c>
      <c r="AP16" s="350">
        <v>53</v>
      </c>
      <c r="AQ16" s="350">
        <v>-37</v>
      </c>
      <c r="AR16" s="350">
        <v>-204</v>
      </c>
      <c r="AS16" s="360">
        <v>0</v>
      </c>
      <c r="AT16" s="350">
        <f t="shared" ref="AT16:AV16" si="31">AT14-AT15</f>
        <v>3303</v>
      </c>
      <c r="AU16" s="350">
        <f t="shared" si="31"/>
        <v>-704</v>
      </c>
      <c r="AV16" s="350">
        <f t="shared" si="31"/>
        <v>-174</v>
      </c>
      <c r="AW16" s="350">
        <v>-261</v>
      </c>
      <c r="AX16" s="350">
        <f>AX14-AX15</f>
        <v>-269</v>
      </c>
      <c r="AY16" s="350">
        <v>64</v>
      </c>
      <c r="AZ16" s="350">
        <v>-181</v>
      </c>
      <c r="BA16" s="350">
        <f>BA14-BA15</f>
        <v>-152</v>
      </c>
      <c r="BB16" s="350">
        <v>-14</v>
      </c>
      <c r="BC16" s="350">
        <v>14</v>
      </c>
      <c r="BD16" s="350">
        <v>402</v>
      </c>
      <c r="BE16" s="351">
        <f>BE14-BE15</f>
        <v>3604</v>
      </c>
    </row>
    <row r="17" ht="20.1" customHeight="1" spans="1:57">
      <c r="A17" s="337"/>
      <c r="B17" s="338" t="s">
        <v>20</v>
      </c>
      <c r="C17" s="339" t="s">
        <v>21</v>
      </c>
      <c r="D17" s="352">
        <f t="shared" ref="D17:G17" si="32">(D14-D15)/ABS(D15)*100</f>
        <v>-22.5443193221095</v>
      </c>
      <c r="E17" s="352">
        <f t="shared" si="32"/>
        <v>47.9509485378891</v>
      </c>
      <c r="F17" s="352">
        <f t="shared" si="32"/>
        <v>-147.603906427436</v>
      </c>
      <c r="G17" s="352">
        <f t="shared" si="32"/>
        <v>-212.394733720792</v>
      </c>
      <c r="H17" s="350">
        <v>-223.8</v>
      </c>
      <c r="I17" s="350">
        <v>-66.4</v>
      </c>
      <c r="J17" s="350">
        <v>-112.1</v>
      </c>
      <c r="K17" s="350">
        <v>-107.3</v>
      </c>
      <c r="L17" s="350">
        <v>-6.8</v>
      </c>
      <c r="M17" s="350">
        <v>-20.8</v>
      </c>
      <c r="N17" s="350">
        <v>699.9</v>
      </c>
      <c r="O17" s="350">
        <v>-190.5</v>
      </c>
      <c r="P17" s="352">
        <f t="shared" ref="P17:S17" si="33">(P14-P15)/ABS(P15)*100</f>
        <v>40.8016877637131</v>
      </c>
      <c r="Q17" s="352">
        <f t="shared" si="33"/>
        <v>78.7610619469027</v>
      </c>
      <c r="R17" s="350">
        <v>119.8</v>
      </c>
      <c r="S17" s="352">
        <f t="shared" si="33"/>
        <v>-0.786627335299902</v>
      </c>
      <c r="T17" s="350">
        <v>161.2</v>
      </c>
      <c r="U17" s="352">
        <f t="shared" ref="U17:Y17" si="34">(U14-U15)/ABS(U15)*100</f>
        <v>-6.67613636363636</v>
      </c>
      <c r="V17" s="350">
        <v>-11.2</v>
      </c>
      <c r="W17" s="352">
        <f t="shared" si="34"/>
        <v>143.90243902439</v>
      </c>
      <c r="X17" s="350">
        <v>101.7</v>
      </c>
      <c r="Y17" s="352">
        <f t="shared" si="34"/>
        <v>1.1949215832711</v>
      </c>
      <c r="Z17" s="350">
        <v>-1.3</v>
      </c>
      <c r="AA17" s="350">
        <v>203.1</v>
      </c>
      <c r="AB17" s="350">
        <v>-520.2</v>
      </c>
      <c r="AC17" s="350">
        <v>31.6</v>
      </c>
      <c r="AD17" s="350">
        <v>0.8</v>
      </c>
      <c r="AE17" s="352">
        <f>(AE14-AE15)/ABS(AE15)*100</f>
        <v>20.5993959575621</v>
      </c>
      <c r="AF17" s="350">
        <v>24.6</v>
      </c>
      <c r="AG17" s="350">
        <v>2849.1</v>
      </c>
      <c r="AH17" s="350">
        <v>-526.3</v>
      </c>
      <c r="AI17" s="350">
        <v>-54.3</v>
      </c>
      <c r="AJ17" s="350">
        <v>60</v>
      </c>
      <c r="AK17" s="352">
        <f>(AK14-AK15)/ABS(AK15)*100</f>
        <v>-25.6756756756757</v>
      </c>
      <c r="AL17" s="350">
        <v>29.2</v>
      </c>
      <c r="AM17" s="350" t="s">
        <v>25</v>
      </c>
      <c r="AN17" s="352">
        <f>(AN14-AN15)/ABS(AN15)*100</f>
        <v>-51.7226404169079</v>
      </c>
      <c r="AO17" s="350">
        <v>-62.3</v>
      </c>
      <c r="AP17" s="350">
        <v>4.4</v>
      </c>
      <c r="AQ17" s="350">
        <v>-15.6</v>
      </c>
      <c r="AR17" s="350">
        <v>-50</v>
      </c>
      <c r="AS17" s="360">
        <v>0</v>
      </c>
      <c r="AT17" s="352">
        <f t="shared" ref="AT17:AV17" si="35">(AT14-AT15)/ABS(AT15)*100</f>
        <v>164.820359281437</v>
      </c>
      <c r="AU17" s="352">
        <f t="shared" si="35"/>
        <v>-39.8190045248869</v>
      </c>
      <c r="AV17" s="352">
        <f t="shared" si="35"/>
        <v>-148.717948717949</v>
      </c>
      <c r="AW17" s="350">
        <v>-1034.4</v>
      </c>
      <c r="AX17" s="352">
        <f>(AX14-AX15)/ABS(AX15)*100</f>
        <v>-16.5436654366544</v>
      </c>
      <c r="AY17" s="350">
        <v>878.6</v>
      </c>
      <c r="AZ17" s="350">
        <v>-23.8</v>
      </c>
      <c r="BA17" s="352">
        <f>(BA14-BA15)/ABS(BA15)*100</f>
        <v>-17.4311926605505</v>
      </c>
      <c r="BB17" s="350">
        <v>-205</v>
      </c>
      <c r="BC17" s="350">
        <v>30.4</v>
      </c>
      <c r="BD17" s="350">
        <v>234.8</v>
      </c>
      <c r="BE17" s="351" t="s">
        <v>25</v>
      </c>
    </row>
    <row r="18" ht="20.1" customHeight="1" spans="1:57">
      <c r="A18" s="337"/>
      <c r="B18" s="338" t="s">
        <v>22</v>
      </c>
      <c r="C18" s="339" t="s">
        <v>21</v>
      </c>
      <c r="D18" s="357">
        <f>D14/D12*100</f>
        <v>20.841</v>
      </c>
      <c r="E18" s="350" t="s">
        <v>25</v>
      </c>
      <c r="F18" s="352" t="s">
        <v>25</v>
      </c>
      <c r="G18" s="352" t="s">
        <v>25</v>
      </c>
      <c r="H18" s="352" t="s">
        <v>25</v>
      </c>
      <c r="I18" s="350">
        <v>7.6</v>
      </c>
      <c r="J18" s="352" t="s">
        <v>25</v>
      </c>
      <c r="K18" s="350">
        <v>24.3</v>
      </c>
      <c r="L18" s="350">
        <v>33.7</v>
      </c>
      <c r="M18" s="350">
        <v>24.7</v>
      </c>
      <c r="N18" s="350">
        <v>8.4</v>
      </c>
      <c r="O18" s="352" t="s">
        <v>25</v>
      </c>
      <c r="P18" s="352">
        <f t="shared" ref="P18:S18" si="36">P14/P12*100</f>
        <v>17.2901554404145</v>
      </c>
      <c r="Q18" s="352">
        <f t="shared" si="36"/>
        <v>27.6712328767123</v>
      </c>
      <c r="R18" s="350">
        <v>24.9</v>
      </c>
      <c r="S18" s="352">
        <f t="shared" si="36"/>
        <v>25.8717948717949</v>
      </c>
      <c r="T18" s="350" t="s">
        <v>25</v>
      </c>
      <c r="U18" s="352">
        <f t="shared" ref="U18:Y18" si="37">U14/U12*100</f>
        <v>13.8315789473684</v>
      </c>
      <c r="V18" s="350">
        <v>14.6</v>
      </c>
      <c r="W18" s="352">
        <f t="shared" si="37"/>
        <v>8.33333333333333</v>
      </c>
      <c r="X18" s="350">
        <v>0.1</v>
      </c>
      <c r="Y18" s="352">
        <f t="shared" si="37"/>
        <v>10.6692913385827</v>
      </c>
      <c r="Z18" s="350">
        <v>15.3</v>
      </c>
      <c r="AA18" s="350">
        <v>7.3</v>
      </c>
      <c r="AB18" s="350" t="s">
        <v>25</v>
      </c>
      <c r="AC18" s="350">
        <v>24.1</v>
      </c>
      <c r="AD18" s="350" t="s">
        <v>25</v>
      </c>
      <c r="AE18" s="352">
        <f>AE14/AE12*100</f>
        <v>25.955</v>
      </c>
      <c r="AF18" s="350">
        <v>35.4</v>
      </c>
      <c r="AG18" s="350">
        <v>63.3</v>
      </c>
      <c r="AH18" s="350" t="s">
        <v>25</v>
      </c>
      <c r="AI18" s="350">
        <v>11.3</v>
      </c>
      <c r="AJ18" s="350" t="s">
        <v>25</v>
      </c>
      <c r="AK18" s="352">
        <f>AK14/AK12*100</f>
        <v>132.857142857143</v>
      </c>
      <c r="AL18" s="350">
        <v>74.9</v>
      </c>
      <c r="AM18" s="350" t="s">
        <v>25</v>
      </c>
      <c r="AN18" s="352">
        <f>AN14/AN12*100</f>
        <v>28.0723905723906</v>
      </c>
      <c r="AO18" s="350">
        <v>29.8</v>
      </c>
      <c r="AP18" s="350">
        <v>35.1</v>
      </c>
      <c r="AQ18" s="350" t="s">
        <v>25</v>
      </c>
      <c r="AR18" s="350">
        <v>20.3</v>
      </c>
      <c r="AS18" s="350">
        <v>32.8</v>
      </c>
      <c r="AT18" s="352">
        <f t="shared" ref="AT18:AX18" si="38">AT14/AT12*100</f>
        <v>89.4940978077572</v>
      </c>
      <c r="AU18" s="352">
        <f t="shared" si="38"/>
        <v>19.8878504672897</v>
      </c>
      <c r="AV18" s="352" t="s">
        <v>25</v>
      </c>
      <c r="AW18" s="352" t="s">
        <v>25</v>
      </c>
      <c r="AX18" s="352">
        <f t="shared" si="38"/>
        <v>30.8409090909091</v>
      </c>
      <c r="AY18" s="352" t="s">
        <v>25</v>
      </c>
      <c r="AZ18" s="352">
        <f t="shared" ref="AZ18:BD18" si="39">AZ14/AZ12*100</f>
        <v>23.2</v>
      </c>
      <c r="BA18" s="352">
        <f t="shared" si="39"/>
        <v>31.304347826087</v>
      </c>
      <c r="BB18" s="350">
        <v>1.8</v>
      </c>
      <c r="BC18" s="350">
        <v>33.6</v>
      </c>
      <c r="BD18" s="350">
        <f t="shared" si="39"/>
        <v>114.6</v>
      </c>
      <c r="BE18" s="368">
        <v>0</v>
      </c>
    </row>
    <row r="19" ht="20.1" hidden="1" customHeight="1" outlineLevel="1" spans="1:57">
      <c r="A19" s="337" t="s">
        <v>26</v>
      </c>
      <c r="B19" s="338" t="s">
        <v>16</v>
      </c>
      <c r="C19" s="339" t="s">
        <v>14</v>
      </c>
      <c r="D19" s="350">
        <v>318920</v>
      </c>
      <c r="E19" s="350">
        <v>424</v>
      </c>
      <c r="F19" s="350">
        <f t="shared" ref="F19:F21" si="40">G19+K19+L19+M19+N19+O19</f>
        <v>37309</v>
      </c>
      <c r="G19" s="350">
        <v>31172</v>
      </c>
      <c r="H19" s="350">
        <v>16486</v>
      </c>
      <c r="I19" s="350">
        <v>9079</v>
      </c>
      <c r="J19" s="350">
        <v>5247</v>
      </c>
      <c r="K19" s="360">
        <v>0</v>
      </c>
      <c r="L19" s="350">
        <v>1552</v>
      </c>
      <c r="M19" s="350">
        <v>2541</v>
      </c>
      <c r="N19" s="350">
        <v>1301</v>
      </c>
      <c r="O19" s="350">
        <v>743</v>
      </c>
      <c r="P19" s="350">
        <f t="shared" ref="P19:P21" si="41">Q19+U19+X19</f>
        <v>24658</v>
      </c>
      <c r="Q19" s="350">
        <f t="shared" ref="Q19:Q21" si="42">R19+S19+T19</f>
        <v>18204</v>
      </c>
      <c r="R19" s="350">
        <v>9094</v>
      </c>
      <c r="S19" s="350">
        <f>8908-BA19</f>
        <v>8618</v>
      </c>
      <c r="T19" s="362">
        <v>492</v>
      </c>
      <c r="U19" s="362">
        <f t="shared" ref="U19:U21" si="43">V19+W19</f>
        <v>5875</v>
      </c>
      <c r="V19" s="350">
        <v>3540</v>
      </c>
      <c r="W19" s="350">
        <v>2335</v>
      </c>
      <c r="X19" s="350">
        <v>579</v>
      </c>
      <c r="Y19" s="350">
        <f t="shared" ref="Y19:Y21" si="44">Z19+AA19+AB19+AC19+AD19</f>
        <v>50453</v>
      </c>
      <c r="Z19" s="350">
        <v>40535</v>
      </c>
      <c r="AA19" s="350">
        <v>200</v>
      </c>
      <c r="AB19" s="350">
        <v>1738</v>
      </c>
      <c r="AC19" s="350">
        <v>5843</v>
      </c>
      <c r="AD19" s="350">
        <v>2137</v>
      </c>
      <c r="AE19" s="350">
        <f t="shared" ref="AE19:AE21" si="45">AF19+AG19+AH19+AI19+AJ19</f>
        <v>88948</v>
      </c>
      <c r="AF19" s="350">
        <v>29000</v>
      </c>
      <c r="AG19" s="350">
        <v>47828</v>
      </c>
      <c r="AH19" s="350">
        <v>8886</v>
      </c>
      <c r="AI19" s="350">
        <v>1336</v>
      </c>
      <c r="AJ19" s="350">
        <v>1898</v>
      </c>
      <c r="AK19" s="350">
        <f t="shared" ref="AK19:AK21" si="46">AL19+AM19</f>
        <v>86</v>
      </c>
      <c r="AL19" s="350">
        <v>74</v>
      </c>
      <c r="AM19" s="365">
        <v>12</v>
      </c>
      <c r="AN19" s="350">
        <f t="shared" ref="AN19:AN21" si="47">AO19+AP19+AQ19+AR19+AS19</f>
        <v>102374</v>
      </c>
      <c r="AO19" s="350">
        <v>13736</v>
      </c>
      <c r="AP19" s="350">
        <v>31</v>
      </c>
      <c r="AQ19" s="350">
        <v>654</v>
      </c>
      <c r="AR19" s="350">
        <v>87953</v>
      </c>
      <c r="AS19" s="350">
        <v>0</v>
      </c>
      <c r="AT19" s="350">
        <f t="shared" ref="AT19:AT21" si="48">AU19+BB19+BC19+BD19+BE19</f>
        <v>14648</v>
      </c>
      <c r="AU19" s="350">
        <f t="shared" ref="AU19:AU21" si="49">AV19+AW19+AX19</f>
        <v>12603</v>
      </c>
      <c r="AV19" s="350">
        <v>10222</v>
      </c>
      <c r="AW19" s="350">
        <v>1641</v>
      </c>
      <c r="AX19" s="350">
        <f t="shared" ref="AX19:AX21" si="50">AY19+AZ19+BA19</f>
        <v>740</v>
      </c>
      <c r="AY19" s="350">
        <v>34</v>
      </c>
      <c r="AZ19" s="350">
        <v>416</v>
      </c>
      <c r="BA19" s="350">
        <v>290</v>
      </c>
      <c r="BB19" s="350">
        <v>801</v>
      </c>
      <c r="BC19" s="350">
        <v>265</v>
      </c>
      <c r="BD19" s="350">
        <v>979</v>
      </c>
      <c r="BE19" s="368">
        <v>0</v>
      </c>
    </row>
    <row r="20" ht="20.1" customHeight="1" collapsed="1" spans="1:57">
      <c r="A20" s="337"/>
      <c r="B20" s="338" t="s">
        <v>17</v>
      </c>
      <c r="C20" s="339" t="s">
        <v>14</v>
      </c>
      <c r="D20" s="350">
        <v>1327210</v>
      </c>
      <c r="E20" s="350">
        <v>1355</v>
      </c>
      <c r="F20" s="350">
        <f t="shared" si="40"/>
        <v>158832</v>
      </c>
      <c r="G20" s="350">
        <v>115439</v>
      </c>
      <c r="H20" s="350">
        <v>78341</v>
      </c>
      <c r="I20" s="350">
        <v>29267</v>
      </c>
      <c r="J20" s="350">
        <v>6638</v>
      </c>
      <c r="K20" s="360">
        <v>0</v>
      </c>
      <c r="L20" s="350">
        <v>19566</v>
      </c>
      <c r="M20" s="350">
        <v>11382</v>
      </c>
      <c r="N20" s="350">
        <v>4673</v>
      </c>
      <c r="O20" s="350">
        <v>7772</v>
      </c>
      <c r="P20" s="350">
        <f t="shared" si="41"/>
        <v>102228</v>
      </c>
      <c r="Q20" s="350">
        <f t="shared" si="42"/>
        <v>75533</v>
      </c>
      <c r="R20" s="350">
        <v>43278</v>
      </c>
      <c r="S20" s="350">
        <f>30602-BA20</f>
        <v>29444</v>
      </c>
      <c r="T20" s="362">
        <v>2811</v>
      </c>
      <c r="U20" s="362">
        <f t="shared" si="43"/>
        <v>18322</v>
      </c>
      <c r="V20" s="350">
        <v>11782</v>
      </c>
      <c r="W20" s="350">
        <v>6540</v>
      </c>
      <c r="X20" s="350">
        <v>8373</v>
      </c>
      <c r="Y20" s="350">
        <f t="shared" si="44"/>
        <v>238723</v>
      </c>
      <c r="Z20" s="350">
        <v>208021</v>
      </c>
      <c r="AA20" s="350">
        <v>878</v>
      </c>
      <c r="AB20" s="350">
        <v>8673</v>
      </c>
      <c r="AC20" s="350">
        <v>14155</v>
      </c>
      <c r="AD20" s="350">
        <v>6996</v>
      </c>
      <c r="AE20" s="350">
        <f t="shared" si="45"/>
        <v>386852</v>
      </c>
      <c r="AF20" s="350">
        <v>110000</v>
      </c>
      <c r="AG20" s="350">
        <v>234948</v>
      </c>
      <c r="AH20" s="350">
        <v>25579</v>
      </c>
      <c r="AI20" s="350">
        <v>6844</v>
      </c>
      <c r="AJ20" s="350">
        <v>9481</v>
      </c>
      <c r="AK20" s="350">
        <f t="shared" si="46"/>
        <v>2510</v>
      </c>
      <c r="AL20" s="350">
        <v>2498</v>
      </c>
      <c r="AM20" s="365">
        <v>12</v>
      </c>
      <c r="AN20" s="350">
        <f t="shared" si="47"/>
        <v>377934</v>
      </c>
      <c r="AO20" s="350">
        <v>42906</v>
      </c>
      <c r="AP20" s="350">
        <v>4096</v>
      </c>
      <c r="AQ20" s="350">
        <v>1554</v>
      </c>
      <c r="AR20" s="350">
        <v>303623</v>
      </c>
      <c r="AS20" s="350">
        <v>25755</v>
      </c>
      <c r="AT20" s="350">
        <f t="shared" si="48"/>
        <v>57159</v>
      </c>
      <c r="AU20" s="350">
        <f t="shared" si="49"/>
        <v>50096</v>
      </c>
      <c r="AV20" s="350">
        <v>42393</v>
      </c>
      <c r="AW20" s="350">
        <v>4797</v>
      </c>
      <c r="AX20" s="350">
        <f t="shared" si="50"/>
        <v>2906</v>
      </c>
      <c r="AY20" s="350">
        <v>134</v>
      </c>
      <c r="AZ20" s="350">
        <v>1614</v>
      </c>
      <c r="BA20" s="350">
        <v>1158</v>
      </c>
      <c r="BB20" s="350">
        <v>2951</v>
      </c>
      <c r="BC20" s="350">
        <v>1115</v>
      </c>
      <c r="BD20" s="350">
        <v>2997</v>
      </c>
      <c r="BE20" s="368">
        <v>0</v>
      </c>
    </row>
    <row r="21" ht="20.1" hidden="1" customHeight="1" outlineLevel="1" spans="1:57">
      <c r="A21" s="337"/>
      <c r="B21" s="338" t="s">
        <v>18</v>
      </c>
      <c r="C21" s="339" t="s">
        <v>14</v>
      </c>
      <c r="D21" s="350">
        <v>1378213</v>
      </c>
      <c r="E21" s="350">
        <v>1003</v>
      </c>
      <c r="F21" s="350">
        <f t="shared" si="40"/>
        <v>252391</v>
      </c>
      <c r="G21" s="350">
        <v>198532</v>
      </c>
      <c r="H21" s="350">
        <v>165228</v>
      </c>
      <c r="I21" s="350">
        <v>29589</v>
      </c>
      <c r="J21" s="350">
        <v>2026</v>
      </c>
      <c r="K21" s="360">
        <v>0</v>
      </c>
      <c r="L21" s="350">
        <v>35079</v>
      </c>
      <c r="M21" s="350">
        <v>8616</v>
      </c>
      <c r="N21" s="350">
        <v>3261</v>
      </c>
      <c r="O21" s="350">
        <v>6903</v>
      </c>
      <c r="P21" s="350">
        <f t="shared" si="41"/>
        <v>87705</v>
      </c>
      <c r="Q21" s="350">
        <f t="shared" si="42"/>
        <v>66477</v>
      </c>
      <c r="R21" s="350">
        <v>45792</v>
      </c>
      <c r="S21" s="350">
        <f>19321-BA21</f>
        <v>18163</v>
      </c>
      <c r="T21" s="362">
        <v>2522</v>
      </c>
      <c r="U21" s="362">
        <f t="shared" si="43"/>
        <v>17384</v>
      </c>
      <c r="V21" s="350">
        <v>13500</v>
      </c>
      <c r="W21" s="350">
        <v>3884</v>
      </c>
      <c r="X21" s="350">
        <v>3844</v>
      </c>
      <c r="Y21" s="350">
        <f t="shared" si="44"/>
        <v>133220</v>
      </c>
      <c r="Z21" s="350">
        <v>110354</v>
      </c>
      <c r="AA21" s="350">
        <v>2042</v>
      </c>
      <c r="AB21" s="350">
        <v>9595</v>
      </c>
      <c r="AC21" s="350">
        <v>5101</v>
      </c>
      <c r="AD21" s="350">
        <v>6128</v>
      </c>
      <c r="AE21" s="350">
        <f t="shared" si="45"/>
        <v>371568</v>
      </c>
      <c r="AF21" s="350">
        <v>106901</v>
      </c>
      <c r="AG21" s="350">
        <v>222212</v>
      </c>
      <c r="AH21" s="350">
        <v>28567</v>
      </c>
      <c r="AI21" s="350">
        <v>5921</v>
      </c>
      <c r="AJ21" s="350">
        <v>7967</v>
      </c>
      <c r="AK21" s="350">
        <f t="shared" si="46"/>
        <v>2330</v>
      </c>
      <c r="AL21" s="350">
        <v>2330</v>
      </c>
      <c r="AM21" s="360">
        <v>0</v>
      </c>
      <c r="AN21" s="350">
        <f t="shared" si="47"/>
        <v>468945</v>
      </c>
      <c r="AO21" s="350">
        <v>98454</v>
      </c>
      <c r="AP21" s="350">
        <v>16397</v>
      </c>
      <c r="AQ21" s="350">
        <v>1061</v>
      </c>
      <c r="AR21" s="350">
        <v>353033</v>
      </c>
      <c r="AS21" s="360">
        <v>0</v>
      </c>
      <c r="AT21" s="350">
        <f t="shared" si="48"/>
        <v>59248</v>
      </c>
      <c r="AU21" s="350">
        <f t="shared" si="49"/>
        <v>51699</v>
      </c>
      <c r="AV21" s="350">
        <v>45472</v>
      </c>
      <c r="AW21" s="350">
        <v>3320</v>
      </c>
      <c r="AX21" s="350">
        <f t="shared" si="50"/>
        <v>2907</v>
      </c>
      <c r="AY21" s="350">
        <v>134</v>
      </c>
      <c r="AZ21" s="350">
        <v>1615</v>
      </c>
      <c r="BA21" s="350">
        <v>1158</v>
      </c>
      <c r="BB21" s="350">
        <v>3789</v>
      </c>
      <c r="BC21" s="350">
        <v>814</v>
      </c>
      <c r="BD21" s="350">
        <v>2946</v>
      </c>
      <c r="BE21" s="368">
        <v>0</v>
      </c>
    </row>
    <row r="22" ht="20.1" customHeight="1" collapsed="1" spans="1:57">
      <c r="A22" s="337"/>
      <c r="B22" s="338" t="s">
        <v>19</v>
      </c>
      <c r="C22" s="339" t="s">
        <v>14</v>
      </c>
      <c r="D22" s="350">
        <v>-51003</v>
      </c>
      <c r="E22" s="350">
        <v>352</v>
      </c>
      <c r="F22" s="350">
        <f>F20-F21</f>
        <v>-93559</v>
      </c>
      <c r="G22" s="350">
        <v>-83093</v>
      </c>
      <c r="H22" s="350">
        <v>-86887</v>
      </c>
      <c r="I22" s="350">
        <v>-322</v>
      </c>
      <c r="J22" s="350">
        <v>4612</v>
      </c>
      <c r="K22" s="360">
        <v>0</v>
      </c>
      <c r="L22" s="350">
        <v>-15513</v>
      </c>
      <c r="M22" s="350">
        <v>2767</v>
      </c>
      <c r="N22" s="350">
        <v>1413</v>
      </c>
      <c r="O22" s="350">
        <v>869</v>
      </c>
      <c r="P22" s="350">
        <f t="shared" ref="P22:S22" si="51">P20-P21</f>
        <v>14523</v>
      </c>
      <c r="Q22" s="350">
        <f t="shared" si="51"/>
        <v>9056</v>
      </c>
      <c r="R22" s="350">
        <v>-2514</v>
      </c>
      <c r="S22" s="350">
        <f t="shared" si="51"/>
        <v>11281</v>
      </c>
      <c r="T22" s="350">
        <v>289</v>
      </c>
      <c r="U22" s="350">
        <f>U20-U21</f>
        <v>938</v>
      </c>
      <c r="V22" s="350">
        <v>-1718</v>
      </c>
      <c r="W22" s="350">
        <v>2656</v>
      </c>
      <c r="X22" s="350">
        <v>4529</v>
      </c>
      <c r="Y22" s="350">
        <f>Y20-Y21</f>
        <v>105503</v>
      </c>
      <c r="Z22" s="350">
        <v>97667</v>
      </c>
      <c r="AA22" s="350">
        <v>-1164</v>
      </c>
      <c r="AB22" s="350">
        <v>-921</v>
      </c>
      <c r="AC22" s="350">
        <v>9053</v>
      </c>
      <c r="AD22" s="350">
        <v>868</v>
      </c>
      <c r="AE22" s="350">
        <f>AE20-AE21</f>
        <v>15284</v>
      </c>
      <c r="AF22" s="350">
        <v>3099</v>
      </c>
      <c r="AG22" s="350">
        <v>12737</v>
      </c>
      <c r="AH22" s="350">
        <v>-2988</v>
      </c>
      <c r="AI22" s="350">
        <v>922</v>
      </c>
      <c r="AJ22" s="350">
        <v>1514</v>
      </c>
      <c r="AK22" s="350">
        <f>AK20-AK21</f>
        <v>180</v>
      </c>
      <c r="AL22" s="350">
        <v>168</v>
      </c>
      <c r="AM22" s="360">
        <v>0</v>
      </c>
      <c r="AN22" s="350">
        <f>AN20-AN21</f>
        <v>-91011</v>
      </c>
      <c r="AO22" s="350">
        <v>-55548</v>
      </c>
      <c r="AP22" s="350">
        <v>-12301</v>
      </c>
      <c r="AQ22" s="350">
        <v>493</v>
      </c>
      <c r="AR22" s="350">
        <v>-49410</v>
      </c>
      <c r="AS22" s="360">
        <v>0</v>
      </c>
      <c r="AT22" s="350">
        <f t="shared" ref="AT22:AX22" si="52">AT20-AT21</f>
        <v>-2089</v>
      </c>
      <c r="AU22" s="350">
        <f t="shared" si="52"/>
        <v>-1603</v>
      </c>
      <c r="AV22" s="350">
        <v>-3079</v>
      </c>
      <c r="AW22" s="350">
        <v>1477</v>
      </c>
      <c r="AX22" s="350">
        <f t="shared" si="52"/>
        <v>-1</v>
      </c>
      <c r="AY22" s="350">
        <v>0</v>
      </c>
      <c r="AZ22" s="350">
        <v>-1</v>
      </c>
      <c r="BA22" s="350">
        <f>BA20-BA21</f>
        <v>0</v>
      </c>
      <c r="BB22" s="350">
        <v>-839</v>
      </c>
      <c r="BC22" s="350">
        <v>301</v>
      </c>
      <c r="BD22" s="350">
        <v>51</v>
      </c>
      <c r="BE22" s="368">
        <v>0</v>
      </c>
    </row>
    <row r="23" ht="20.1" customHeight="1" spans="1:57">
      <c r="A23" s="337"/>
      <c r="B23" s="338" t="s">
        <v>20</v>
      </c>
      <c r="C23" s="339" t="s">
        <v>21</v>
      </c>
      <c r="D23" s="350">
        <v>-3.7</v>
      </c>
      <c r="E23" s="350">
        <v>35.1</v>
      </c>
      <c r="F23" s="352">
        <f>F20/F21*100-100</f>
        <v>-37.0690714011197</v>
      </c>
      <c r="G23" s="350">
        <v>-41.9</v>
      </c>
      <c r="H23" s="350">
        <v>-52.6</v>
      </c>
      <c r="I23" s="350">
        <v>-1.1</v>
      </c>
      <c r="J23" s="350">
        <v>227.6</v>
      </c>
      <c r="K23" s="360" t="s">
        <v>25</v>
      </c>
      <c r="L23" s="350">
        <v>-44.2</v>
      </c>
      <c r="M23" s="350">
        <v>32.1</v>
      </c>
      <c r="N23" s="350">
        <v>43.3</v>
      </c>
      <c r="O23" s="350">
        <v>12.6</v>
      </c>
      <c r="P23" s="352">
        <f t="shared" ref="P23:S23" si="53">P20/P21*100-100</f>
        <v>16.5589191038139</v>
      </c>
      <c r="Q23" s="352">
        <f t="shared" si="53"/>
        <v>13.6227567429336</v>
      </c>
      <c r="R23" s="350">
        <v>-5.5</v>
      </c>
      <c r="S23" s="352">
        <f t="shared" si="53"/>
        <v>62.109783626053</v>
      </c>
      <c r="T23" s="350">
        <v>11.4</v>
      </c>
      <c r="U23" s="352">
        <f>U20/U21*100-100</f>
        <v>5.39576622181318</v>
      </c>
      <c r="V23" s="350">
        <v>-12.7</v>
      </c>
      <c r="W23" s="350">
        <v>68.4</v>
      </c>
      <c r="X23" s="350">
        <v>117.8</v>
      </c>
      <c r="Y23" s="352">
        <f>Y20/Y21*100-100</f>
        <v>79.1945653805735</v>
      </c>
      <c r="Z23" s="350">
        <v>88.5</v>
      </c>
      <c r="AA23" s="350">
        <v>-57</v>
      </c>
      <c r="AB23" s="350">
        <v>-9.6</v>
      </c>
      <c r="AC23" s="350">
        <v>177.5</v>
      </c>
      <c r="AD23" s="350">
        <v>14.2</v>
      </c>
      <c r="AE23" s="352">
        <f>AE20/AE21*100-100</f>
        <v>4.11337897773758</v>
      </c>
      <c r="AF23" s="350">
        <v>2.9</v>
      </c>
      <c r="AG23" s="350">
        <v>5.7</v>
      </c>
      <c r="AH23" s="350">
        <v>-10.5</v>
      </c>
      <c r="AI23" s="350">
        <v>15.6</v>
      </c>
      <c r="AJ23" s="350">
        <v>19</v>
      </c>
      <c r="AK23" s="352">
        <f>AK20/AK21*100-100</f>
        <v>7.72532188841201</v>
      </c>
      <c r="AL23" s="350">
        <v>7.2</v>
      </c>
      <c r="AM23" s="360">
        <v>0</v>
      </c>
      <c r="AN23" s="352">
        <f>AN20/AN21*100-100</f>
        <v>-19.4076064357227</v>
      </c>
      <c r="AO23" s="350">
        <v>-56.4</v>
      </c>
      <c r="AP23" s="350">
        <v>-75</v>
      </c>
      <c r="AQ23" s="350">
        <v>46.4</v>
      </c>
      <c r="AR23" s="350">
        <v>-14</v>
      </c>
      <c r="AS23" s="360">
        <v>0</v>
      </c>
      <c r="AT23" s="352">
        <f t="shared" ref="AT23:AX23" si="54">AT20/AT21*100-100</f>
        <v>-3.52585741290845</v>
      </c>
      <c r="AU23" s="352">
        <f t="shared" si="54"/>
        <v>-3.10064024449215</v>
      </c>
      <c r="AV23" s="350">
        <v>-6.8</v>
      </c>
      <c r="AW23" s="350">
        <v>44.5</v>
      </c>
      <c r="AX23" s="352">
        <f t="shared" si="54"/>
        <v>-0.0343997248021992</v>
      </c>
      <c r="AY23" s="350">
        <v>0.3</v>
      </c>
      <c r="AZ23" s="350">
        <v>-0.1</v>
      </c>
      <c r="BA23" s="352">
        <f>BA20/BA21*100-100</f>
        <v>0</v>
      </c>
      <c r="BB23" s="350">
        <v>-22.1</v>
      </c>
      <c r="BC23" s="350">
        <v>36.9</v>
      </c>
      <c r="BD23" s="350">
        <v>1.7</v>
      </c>
      <c r="BE23" s="368">
        <v>0</v>
      </c>
    </row>
    <row r="24" ht="20.1" hidden="1" customHeight="1" outlineLevel="1" spans="1:57">
      <c r="A24" s="337" t="s">
        <v>28</v>
      </c>
      <c r="B24" s="338" t="s">
        <v>16</v>
      </c>
      <c r="C24" s="339" t="s">
        <v>14</v>
      </c>
      <c r="D24" s="350">
        <v>322114</v>
      </c>
      <c r="E24" s="350">
        <v>930</v>
      </c>
      <c r="F24" s="350">
        <f t="shared" ref="F24:F26" si="55">G24+K24+L24+M24+N24+O24</f>
        <v>33461</v>
      </c>
      <c r="G24" s="350">
        <v>21896</v>
      </c>
      <c r="H24" s="350">
        <v>16135</v>
      </c>
      <c r="I24" s="350">
        <v>4793</v>
      </c>
      <c r="J24" s="350">
        <v>571</v>
      </c>
      <c r="K24" s="360">
        <v>0</v>
      </c>
      <c r="L24" s="350">
        <v>8344</v>
      </c>
      <c r="M24" s="350">
        <v>315</v>
      </c>
      <c r="N24" s="350">
        <v>2027</v>
      </c>
      <c r="O24" s="350">
        <v>879</v>
      </c>
      <c r="P24" s="350">
        <f t="shared" ref="P24:P26" si="56">Q24+U24+X24</f>
        <v>31909</v>
      </c>
      <c r="Q24" s="350">
        <f t="shared" ref="Q24:Q26" si="57">R24+S24+T24</f>
        <v>25664</v>
      </c>
      <c r="R24" s="350">
        <v>17662</v>
      </c>
      <c r="S24" s="350">
        <v>6227</v>
      </c>
      <c r="T24" s="362">
        <v>1775</v>
      </c>
      <c r="U24" s="362">
        <f t="shared" ref="U24:U26" si="58">V24+W24</f>
        <v>3986</v>
      </c>
      <c r="V24" s="350">
        <v>3000</v>
      </c>
      <c r="W24" s="350">
        <v>986</v>
      </c>
      <c r="X24" s="350">
        <v>2259</v>
      </c>
      <c r="Y24" s="350">
        <f t="shared" ref="Y24:Y26" si="59">Z24+AA24+AB24+AC24+AD24</f>
        <v>47751</v>
      </c>
      <c r="Z24" s="350">
        <v>44567</v>
      </c>
      <c r="AA24" s="350">
        <v>297</v>
      </c>
      <c r="AB24" s="350">
        <v>1226</v>
      </c>
      <c r="AC24" s="350">
        <v>1097</v>
      </c>
      <c r="AD24" s="350">
        <v>564</v>
      </c>
      <c r="AE24" s="350">
        <f t="shared" ref="AE24:AE26" si="60">AF24+AG24+AH24+AI24+AJ24</f>
        <v>74172</v>
      </c>
      <c r="AF24" s="350">
        <v>24300</v>
      </c>
      <c r="AG24" s="350">
        <v>35224</v>
      </c>
      <c r="AH24" s="350">
        <v>9846</v>
      </c>
      <c r="AI24" s="350">
        <v>1359</v>
      </c>
      <c r="AJ24" s="350">
        <v>3443</v>
      </c>
      <c r="AK24" s="350">
        <f t="shared" ref="AK24:AK26" si="61">AL24+AM24</f>
        <v>1615</v>
      </c>
      <c r="AL24" s="350">
        <v>1615</v>
      </c>
      <c r="AM24" s="360">
        <v>0</v>
      </c>
      <c r="AN24" s="350">
        <f t="shared" ref="AN24:AN26" si="62">AO24+AP24+AQ24+AR24+AS24</f>
        <v>109202</v>
      </c>
      <c r="AO24" s="350">
        <v>21087</v>
      </c>
      <c r="AP24" s="350">
        <v>2487</v>
      </c>
      <c r="AQ24" s="350">
        <v>476</v>
      </c>
      <c r="AR24" s="350">
        <v>80000</v>
      </c>
      <c r="AS24" s="350">
        <v>5152</v>
      </c>
      <c r="AT24" s="350">
        <f t="shared" ref="AT24:AT26" si="63">AU24+BB24+BC24+BD24+BE24</f>
        <v>16437</v>
      </c>
      <c r="AU24" s="350">
        <f t="shared" ref="AU24:AU26" si="64">AV24+AW24+AX24</f>
        <v>15432</v>
      </c>
      <c r="AV24" s="350">
        <v>13150</v>
      </c>
      <c r="AW24" s="350">
        <v>1848</v>
      </c>
      <c r="AX24" s="350">
        <f t="shared" ref="AX24:AX26" si="65">AY24+AZ24+BA24</f>
        <v>434</v>
      </c>
      <c r="AY24" s="350">
        <v>34</v>
      </c>
      <c r="AZ24" s="350">
        <v>400</v>
      </c>
      <c r="BA24" s="360">
        <v>0</v>
      </c>
      <c r="BB24" s="350">
        <v>-55</v>
      </c>
      <c r="BC24" s="350">
        <v>265</v>
      </c>
      <c r="BD24" s="350">
        <v>795</v>
      </c>
      <c r="BE24" s="368">
        <v>0</v>
      </c>
    </row>
    <row r="25" ht="20.1" customHeight="1" collapsed="1" spans="1:57">
      <c r="A25" s="337"/>
      <c r="B25" s="338" t="s">
        <v>17</v>
      </c>
      <c r="C25" s="339" t="s">
        <v>14</v>
      </c>
      <c r="D25" s="350">
        <v>1206088</v>
      </c>
      <c r="E25" s="350">
        <v>2399</v>
      </c>
      <c r="F25" s="350">
        <f t="shared" si="55"/>
        <v>78600</v>
      </c>
      <c r="G25" s="350">
        <v>46482</v>
      </c>
      <c r="H25" s="350">
        <v>33567</v>
      </c>
      <c r="I25" s="350">
        <v>9797</v>
      </c>
      <c r="J25" s="350">
        <v>1813</v>
      </c>
      <c r="K25" s="360">
        <v>0</v>
      </c>
      <c r="L25" s="350">
        <v>17382</v>
      </c>
      <c r="M25" s="350">
        <v>7532</v>
      </c>
      <c r="N25" s="350">
        <v>3233</v>
      </c>
      <c r="O25" s="350">
        <v>3971</v>
      </c>
      <c r="P25" s="350">
        <f t="shared" si="56"/>
        <v>148440</v>
      </c>
      <c r="Q25" s="350">
        <f t="shared" si="57"/>
        <v>122936</v>
      </c>
      <c r="R25" s="350">
        <v>89682</v>
      </c>
      <c r="S25" s="350">
        <v>28417</v>
      </c>
      <c r="T25" s="362">
        <v>4837</v>
      </c>
      <c r="U25" s="362">
        <f t="shared" si="58"/>
        <v>17631</v>
      </c>
      <c r="V25" s="350">
        <v>14000</v>
      </c>
      <c r="W25" s="350">
        <v>3631</v>
      </c>
      <c r="X25" s="350">
        <v>7873</v>
      </c>
      <c r="Y25" s="350">
        <f t="shared" si="59"/>
        <v>143746</v>
      </c>
      <c r="Z25" s="350">
        <v>122191</v>
      </c>
      <c r="AA25" s="350">
        <v>1310</v>
      </c>
      <c r="AB25" s="350">
        <v>5408</v>
      </c>
      <c r="AC25" s="350">
        <v>7292</v>
      </c>
      <c r="AD25" s="350">
        <v>7545</v>
      </c>
      <c r="AE25" s="350">
        <f t="shared" si="60"/>
        <v>339650</v>
      </c>
      <c r="AF25" s="350">
        <v>104072</v>
      </c>
      <c r="AG25" s="350">
        <v>196652</v>
      </c>
      <c r="AH25" s="350">
        <v>23693</v>
      </c>
      <c r="AI25" s="350">
        <v>3517</v>
      </c>
      <c r="AJ25" s="350">
        <v>11716</v>
      </c>
      <c r="AK25" s="350">
        <f t="shared" si="61"/>
        <v>5454</v>
      </c>
      <c r="AL25" s="350">
        <v>5454</v>
      </c>
      <c r="AM25" s="360">
        <v>0</v>
      </c>
      <c r="AN25" s="350">
        <f t="shared" si="62"/>
        <v>428921</v>
      </c>
      <c r="AO25" s="350">
        <v>54761</v>
      </c>
      <c r="AP25" s="350">
        <v>18670</v>
      </c>
      <c r="AQ25" s="350">
        <v>1658</v>
      </c>
      <c r="AR25" s="350">
        <v>330000</v>
      </c>
      <c r="AS25" s="350">
        <v>23832</v>
      </c>
      <c r="AT25" s="350">
        <f t="shared" si="63"/>
        <v>52194</v>
      </c>
      <c r="AU25" s="350">
        <f t="shared" si="64"/>
        <v>46164</v>
      </c>
      <c r="AV25" s="350">
        <v>40454</v>
      </c>
      <c r="AW25" s="350">
        <v>4376</v>
      </c>
      <c r="AX25" s="350">
        <f t="shared" si="65"/>
        <v>1334</v>
      </c>
      <c r="AY25" s="350">
        <v>134</v>
      </c>
      <c r="AZ25" s="350">
        <v>1200</v>
      </c>
      <c r="BA25" s="360">
        <v>0</v>
      </c>
      <c r="BB25" s="350">
        <v>2199</v>
      </c>
      <c r="BC25" s="350">
        <v>1115</v>
      </c>
      <c r="BD25" s="350">
        <v>2716</v>
      </c>
      <c r="BE25" s="368">
        <v>0</v>
      </c>
    </row>
    <row r="26" ht="20.1" hidden="1" customHeight="1" outlineLevel="1" spans="1:57">
      <c r="A26" s="337"/>
      <c r="B26" s="338" t="s">
        <v>18</v>
      </c>
      <c r="C26" s="339" t="s">
        <v>14</v>
      </c>
      <c r="D26" s="350">
        <v>1352303</v>
      </c>
      <c r="E26" s="350">
        <v>1139</v>
      </c>
      <c r="F26" s="350">
        <f t="shared" si="55"/>
        <v>111942</v>
      </c>
      <c r="G26" s="350">
        <v>84262</v>
      </c>
      <c r="H26" s="350">
        <v>63173</v>
      </c>
      <c r="I26" s="350">
        <v>18856</v>
      </c>
      <c r="J26" s="350">
        <v>337</v>
      </c>
      <c r="K26" s="360">
        <v>0</v>
      </c>
      <c r="L26" s="350">
        <v>18605</v>
      </c>
      <c r="M26" s="350">
        <v>2889</v>
      </c>
      <c r="N26" s="350">
        <v>2128</v>
      </c>
      <c r="O26" s="350">
        <v>4058</v>
      </c>
      <c r="P26" s="350">
        <f t="shared" si="56"/>
        <v>117642</v>
      </c>
      <c r="Q26" s="350">
        <f t="shared" si="57"/>
        <v>95525</v>
      </c>
      <c r="R26" s="350">
        <v>63625</v>
      </c>
      <c r="S26" s="350">
        <v>29871</v>
      </c>
      <c r="T26" s="362">
        <v>2029</v>
      </c>
      <c r="U26" s="362">
        <f t="shared" si="58"/>
        <v>17375</v>
      </c>
      <c r="V26" s="350">
        <v>13500</v>
      </c>
      <c r="W26" s="350">
        <v>3875</v>
      </c>
      <c r="X26" s="350">
        <v>4742</v>
      </c>
      <c r="Y26" s="350">
        <f t="shared" si="59"/>
        <v>144397</v>
      </c>
      <c r="Z26" s="350">
        <v>115805</v>
      </c>
      <c r="AA26" s="350">
        <v>302</v>
      </c>
      <c r="AB26" s="350">
        <v>10167</v>
      </c>
      <c r="AC26" s="350">
        <v>5048</v>
      </c>
      <c r="AD26" s="350">
        <v>13075</v>
      </c>
      <c r="AE26" s="350">
        <f t="shared" si="60"/>
        <v>357056</v>
      </c>
      <c r="AF26" s="350">
        <v>112220</v>
      </c>
      <c r="AG26" s="350">
        <v>200313</v>
      </c>
      <c r="AH26" s="350">
        <v>32663</v>
      </c>
      <c r="AI26" s="350">
        <v>3530</v>
      </c>
      <c r="AJ26" s="350">
        <v>8330</v>
      </c>
      <c r="AK26" s="350">
        <f t="shared" si="61"/>
        <v>490</v>
      </c>
      <c r="AL26" s="350">
        <v>490</v>
      </c>
      <c r="AM26" s="360">
        <v>0</v>
      </c>
      <c r="AN26" s="350">
        <f t="shared" si="62"/>
        <v>548750</v>
      </c>
      <c r="AO26" s="350">
        <v>111421</v>
      </c>
      <c r="AP26" s="350">
        <v>50665</v>
      </c>
      <c r="AQ26" s="350">
        <v>1733</v>
      </c>
      <c r="AR26" s="350">
        <v>384931</v>
      </c>
      <c r="AS26" s="360">
        <v>0</v>
      </c>
      <c r="AT26" s="350">
        <f t="shared" si="63"/>
        <v>67499</v>
      </c>
      <c r="AU26" s="350">
        <f t="shared" si="64"/>
        <v>60887</v>
      </c>
      <c r="AV26" s="350">
        <v>52915</v>
      </c>
      <c r="AW26" s="350">
        <v>6203</v>
      </c>
      <c r="AX26" s="350">
        <f t="shared" si="65"/>
        <v>1769</v>
      </c>
      <c r="AY26" s="350">
        <v>134</v>
      </c>
      <c r="AZ26" s="350">
        <v>1635</v>
      </c>
      <c r="BA26" s="360">
        <v>0</v>
      </c>
      <c r="BB26" s="350">
        <v>3359</v>
      </c>
      <c r="BC26" s="350">
        <v>814</v>
      </c>
      <c r="BD26" s="350">
        <v>2439</v>
      </c>
      <c r="BE26" s="368">
        <v>0</v>
      </c>
    </row>
    <row r="27" ht="20.1" customHeight="1" collapsed="1" spans="1:57">
      <c r="A27" s="337"/>
      <c r="B27" s="338" t="s">
        <v>19</v>
      </c>
      <c r="C27" s="339" t="s">
        <v>14</v>
      </c>
      <c r="D27" s="350">
        <v>-146215</v>
      </c>
      <c r="E27" s="350">
        <v>1260</v>
      </c>
      <c r="F27" s="350">
        <f>F25-F26</f>
        <v>-33342</v>
      </c>
      <c r="G27" s="350">
        <v>-37780</v>
      </c>
      <c r="H27" s="350">
        <v>-29606</v>
      </c>
      <c r="I27" s="350">
        <v>-9060</v>
      </c>
      <c r="J27" s="350">
        <v>1476</v>
      </c>
      <c r="K27" s="360">
        <v>0</v>
      </c>
      <c r="L27" s="350">
        <v>-1223</v>
      </c>
      <c r="M27" s="350">
        <v>4643</v>
      </c>
      <c r="N27" s="350">
        <v>1105</v>
      </c>
      <c r="O27" s="350">
        <v>-87</v>
      </c>
      <c r="P27" s="350">
        <f t="shared" ref="P27:U27" si="66">P25-P26</f>
        <v>30798</v>
      </c>
      <c r="Q27" s="350">
        <f t="shared" si="66"/>
        <v>27411</v>
      </c>
      <c r="R27" s="350">
        <v>26057</v>
      </c>
      <c r="S27" s="350">
        <v>-1454</v>
      </c>
      <c r="T27" s="350">
        <v>2809</v>
      </c>
      <c r="U27" s="350">
        <f t="shared" si="66"/>
        <v>256</v>
      </c>
      <c r="V27" s="350">
        <v>500</v>
      </c>
      <c r="W27" s="350">
        <v>-245</v>
      </c>
      <c r="X27" s="350">
        <v>3131</v>
      </c>
      <c r="Y27" s="350">
        <f>Y25-Y26</f>
        <v>-651</v>
      </c>
      <c r="Z27" s="350">
        <v>6386</v>
      </c>
      <c r="AA27" s="350">
        <v>1008</v>
      </c>
      <c r="AB27" s="350">
        <v>-4759</v>
      </c>
      <c r="AC27" s="350">
        <v>2243</v>
      </c>
      <c r="AD27" s="350">
        <v>-5530</v>
      </c>
      <c r="AE27" s="350">
        <f>AE25-AE26</f>
        <v>-17406</v>
      </c>
      <c r="AF27" s="350">
        <v>-8148</v>
      </c>
      <c r="AG27" s="350">
        <v>-3661</v>
      </c>
      <c r="AH27" s="350">
        <v>-8970</v>
      </c>
      <c r="AI27" s="350">
        <v>-13</v>
      </c>
      <c r="AJ27" s="350">
        <v>3386</v>
      </c>
      <c r="AK27" s="350">
        <f>AK25-AK26</f>
        <v>4964</v>
      </c>
      <c r="AL27" s="350">
        <v>4964</v>
      </c>
      <c r="AM27" s="360">
        <v>0</v>
      </c>
      <c r="AN27" s="350">
        <f>AN25-AN26</f>
        <v>-119829</v>
      </c>
      <c r="AO27" s="350">
        <v>-56660</v>
      </c>
      <c r="AP27" s="350">
        <v>-31995</v>
      </c>
      <c r="AQ27" s="350">
        <v>-75</v>
      </c>
      <c r="AR27" s="350">
        <v>-54931</v>
      </c>
      <c r="AS27" s="360">
        <v>0</v>
      </c>
      <c r="AT27" s="350">
        <f t="shared" ref="AT27:AX27" si="67">AT25-AT26</f>
        <v>-15305</v>
      </c>
      <c r="AU27" s="350">
        <f t="shared" si="67"/>
        <v>-14723</v>
      </c>
      <c r="AV27" s="350">
        <v>-12461</v>
      </c>
      <c r="AW27" s="350">
        <v>-1827</v>
      </c>
      <c r="AX27" s="350">
        <f t="shared" si="67"/>
        <v>-435</v>
      </c>
      <c r="AY27" s="350">
        <v>0</v>
      </c>
      <c r="AZ27" s="350">
        <v>-435</v>
      </c>
      <c r="BA27" s="360">
        <v>0</v>
      </c>
      <c r="BB27" s="350">
        <v>-1160</v>
      </c>
      <c r="BC27" s="350">
        <v>301</v>
      </c>
      <c r="BD27" s="350">
        <v>277</v>
      </c>
      <c r="BE27" s="368">
        <v>0</v>
      </c>
    </row>
    <row r="28" ht="20.1" customHeight="1" spans="1:57">
      <c r="A28" s="337"/>
      <c r="B28" s="338" t="s">
        <v>20</v>
      </c>
      <c r="C28" s="339" t="s">
        <v>21</v>
      </c>
      <c r="D28" s="350">
        <v>-10.8</v>
      </c>
      <c r="E28" s="350">
        <v>110.6</v>
      </c>
      <c r="F28" s="352">
        <f>F25/F26*100-100</f>
        <v>-29.7850672669775</v>
      </c>
      <c r="G28" s="350">
        <v>-44.8</v>
      </c>
      <c r="H28" s="350">
        <v>-46.9</v>
      </c>
      <c r="I28" s="350">
        <v>-48</v>
      </c>
      <c r="J28" s="350">
        <v>438.1</v>
      </c>
      <c r="K28" s="360" t="s">
        <v>25</v>
      </c>
      <c r="L28" s="350">
        <v>-6.6</v>
      </c>
      <c r="M28" s="350">
        <v>160.7</v>
      </c>
      <c r="N28" s="350">
        <v>52</v>
      </c>
      <c r="O28" s="350">
        <v>-2.1</v>
      </c>
      <c r="P28" s="352">
        <f t="shared" ref="P28:U28" si="68">P25/P26*100-100</f>
        <v>26.1794257153058</v>
      </c>
      <c r="Q28" s="352">
        <f t="shared" si="68"/>
        <v>28.6951059931955</v>
      </c>
      <c r="R28" s="350">
        <v>41</v>
      </c>
      <c r="S28" s="350">
        <v>-4.9</v>
      </c>
      <c r="T28" s="350">
        <v>138.5</v>
      </c>
      <c r="U28" s="352">
        <f t="shared" si="68"/>
        <v>1.47338129496404</v>
      </c>
      <c r="V28" s="350">
        <v>3.7</v>
      </c>
      <c r="W28" s="350">
        <v>-6.3</v>
      </c>
      <c r="X28" s="350">
        <v>66</v>
      </c>
      <c r="Y28" s="352">
        <f>Y25/Y26*100-100</f>
        <v>-0.450840391420869</v>
      </c>
      <c r="Z28" s="350">
        <v>5.5</v>
      </c>
      <c r="AA28" s="350">
        <v>334.3</v>
      </c>
      <c r="AB28" s="350">
        <v>-46.8</v>
      </c>
      <c r="AC28" s="350">
        <v>44.4</v>
      </c>
      <c r="AD28" s="350">
        <v>-42.3</v>
      </c>
      <c r="AE28" s="352">
        <f>AE25/AE26*100-100</f>
        <v>-4.87486556730596</v>
      </c>
      <c r="AF28" s="350">
        <v>-7.3</v>
      </c>
      <c r="AG28" s="350">
        <v>-1.8</v>
      </c>
      <c r="AH28" s="350">
        <v>-27.5</v>
      </c>
      <c r="AI28" s="350">
        <v>-0.4</v>
      </c>
      <c r="AJ28" s="350">
        <v>40.6</v>
      </c>
      <c r="AK28" s="352">
        <f>AK25/AK26*100-100</f>
        <v>1013.0612244898</v>
      </c>
      <c r="AL28" s="350">
        <v>1013.1</v>
      </c>
      <c r="AM28" s="360">
        <v>0</v>
      </c>
      <c r="AN28" s="352">
        <f>AN25/AN26*100-100</f>
        <v>-21.8367198177677</v>
      </c>
      <c r="AO28" s="350">
        <v>-50.9</v>
      </c>
      <c r="AP28" s="350">
        <v>-63.2</v>
      </c>
      <c r="AQ28" s="350">
        <v>-4.3</v>
      </c>
      <c r="AR28" s="350">
        <v>-14.3</v>
      </c>
      <c r="AS28" s="360">
        <v>0</v>
      </c>
      <c r="AT28" s="352">
        <f t="shared" ref="AT28:AX28" si="69">AT25/AT26*100-100</f>
        <v>-22.6744099912591</v>
      </c>
      <c r="AU28" s="352">
        <f t="shared" si="69"/>
        <v>-24.1808596252073</v>
      </c>
      <c r="AV28" s="350">
        <v>-23.5</v>
      </c>
      <c r="AW28" s="350">
        <v>-29.4</v>
      </c>
      <c r="AX28" s="352">
        <f t="shared" si="69"/>
        <v>-24.5901639344262</v>
      </c>
      <c r="AY28" s="350">
        <v>0.3</v>
      </c>
      <c r="AZ28" s="350">
        <v>-26.6</v>
      </c>
      <c r="BA28" s="360">
        <v>0</v>
      </c>
      <c r="BB28" s="350">
        <v>-34.5</v>
      </c>
      <c r="BC28" s="350">
        <v>36.9</v>
      </c>
      <c r="BD28" s="350">
        <v>11.4</v>
      </c>
      <c r="BE28" s="368">
        <v>0</v>
      </c>
    </row>
    <row r="29" ht="20.1" hidden="1" customHeight="1" outlineLevel="1" spans="1:57">
      <c r="A29" s="337" t="s">
        <v>30</v>
      </c>
      <c r="B29" s="338" t="s">
        <v>16</v>
      </c>
      <c r="C29" s="339" t="s">
        <v>14</v>
      </c>
      <c r="D29" s="350">
        <v>17453</v>
      </c>
      <c r="E29" s="350">
        <v>2807</v>
      </c>
      <c r="F29" s="350">
        <f t="shared" ref="F29:F31" si="70">G29+K29+L29+M29+N29+O29</f>
        <v>3003</v>
      </c>
      <c r="G29" s="350">
        <f>1119-K29</f>
        <v>1118</v>
      </c>
      <c r="H29" s="350">
        <v>1034</v>
      </c>
      <c r="I29" s="350">
        <v>78</v>
      </c>
      <c r="J29" s="350">
        <v>4</v>
      </c>
      <c r="K29" s="350">
        <v>1</v>
      </c>
      <c r="L29" s="350">
        <v>779</v>
      </c>
      <c r="M29" s="350">
        <v>766</v>
      </c>
      <c r="N29" s="350">
        <v>88</v>
      </c>
      <c r="O29" s="350">
        <v>251</v>
      </c>
      <c r="P29" s="350">
        <f t="shared" ref="P29:P31" si="71">Q29+U29+X29</f>
        <v>815</v>
      </c>
      <c r="Q29" s="350">
        <f t="shared" ref="Q29:Q31" si="72">R29+S29+T29</f>
        <v>383</v>
      </c>
      <c r="R29" s="350">
        <v>127</v>
      </c>
      <c r="S29" s="350">
        <v>169</v>
      </c>
      <c r="T29" s="362">
        <v>87</v>
      </c>
      <c r="U29" s="362">
        <f t="shared" ref="U29:U31" si="73">V29+W29</f>
        <v>275</v>
      </c>
      <c r="V29" s="350">
        <v>148</v>
      </c>
      <c r="W29" s="350">
        <v>127</v>
      </c>
      <c r="X29" s="350">
        <v>157</v>
      </c>
      <c r="Y29" s="350">
        <f t="shared" ref="Y29:Y31" si="74">Z29+AA29+AB29+AC29+AD29</f>
        <v>500</v>
      </c>
      <c r="Z29" s="350">
        <v>81</v>
      </c>
      <c r="AA29" s="350">
        <v>53</v>
      </c>
      <c r="AB29" s="350">
        <v>13</v>
      </c>
      <c r="AC29" s="350">
        <v>113</v>
      </c>
      <c r="AD29" s="350">
        <v>240</v>
      </c>
      <c r="AE29" s="350">
        <f t="shared" ref="AE29:AE31" si="75">AF29+AG29+AH29+AI29+AJ29</f>
        <v>6592</v>
      </c>
      <c r="AF29" s="350">
        <v>2006</v>
      </c>
      <c r="AG29" s="350">
        <v>4022</v>
      </c>
      <c r="AH29" s="350">
        <v>68</v>
      </c>
      <c r="AI29" s="350">
        <v>447</v>
      </c>
      <c r="AJ29" s="350">
        <v>49</v>
      </c>
      <c r="AK29" s="350">
        <f t="shared" ref="AK29:AK31" si="76">AL29+AM29</f>
        <v>8</v>
      </c>
      <c r="AL29" s="350">
        <v>6</v>
      </c>
      <c r="AM29" s="350">
        <v>2</v>
      </c>
      <c r="AN29" s="350">
        <f t="shared" ref="AN29:AN31" si="77">AO29+AP29+AQ29+AR29+AS29</f>
        <v>2496</v>
      </c>
      <c r="AO29" s="350">
        <v>1903</v>
      </c>
      <c r="AP29" s="350">
        <v>304</v>
      </c>
      <c r="AQ29" s="350">
        <v>78</v>
      </c>
      <c r="AR29" s="350">
        <v>211</v>
      </c>
      <c r="AS29" s="350">
        <v>0</v>
      </c>
      <c r="AT29" s="350">
        <f t="shared" ref="AT29:AT31" si="78">AU29+BB29+BC29+BD29+BE29</f>
        <v>1207</v>
      </c>
      <c r="AU29" s="350">
        <f t="shared" ref="AU29:AU31" si="79">AV29+AW29+AX29</f>
        <v>194</v>
      </c>
      <c r="AV29" s="350">
        <v>43</v>
      </c>
      <c r="AW29" s="350">
        <v>6</v>
      </c>
      <c r="AX29" s="350">
        <f t="shared" ref="AX29:AX31" si="80">AY29+AZ29+BA29</f>
        <v>145</v>
      </c>
      <c r="AY29" s="350">
        <v>12</v>
      </c>
      <c r="AZ29" s="350">
        <v>133</v>
      </c>
      <c r="BA29" s="360">
        <v>0</v>
      </c>
      <c r="BB29" s="350">
        <v>42</v>
      </c>
      <c r="BC29" s="350">
        <v>15</v>
      </c>
      <c r="BD29" s="350">
        <v>36</v>
      </c>
      <c r="BE29" s="351">
        <v>920</v>
      </c>
    </row>
    <row r="30" ht="20.1" customHeight="1" collapsed="1" spans="1:57">
      <c r="A30" s="337"/>
      <c r="B30" s="338" t="s">
        <v>17</v>
      </c>
      <c r="C30" s="339" t="s">
        <v>14</v>
      </c>
      <c r="D30" s="350">
        <v>49144</v>
      </c>
      <c r="E30" s="350">
        <v>3386</v>
      </c>
      <c r="F30" s="350">
        <f t="shared" si="70"/>
        <v>14305</v>
      </c>
      <c r="G30" s="350">
        <f>9925-K30</f>
        <v>9894</v>
      </c>
      <c r="H30" s="350">
        <v>7058</v>
      </c>
      <c r="I30" s="350">
        <v>253</v>
      </c>
      <c r="J30" s="350">
        <v>2568</v>
      </c>
      <c r="K30" s="350">
        <v>31</v>
      </c>
      <c r="L30" s="350">
        <v>2314</v>
      </c>
      <c r="M30" s="350">
        <v>1422</v>
      </c>
      <c r="N30" s="350">
        <v>197</v>
      </c>
      <c r="O30" s="350">
        <v>447</v>
      </c>
      <c r="P30" s="350">
        <f t="shared" si="71"/>
        <v>3565</v>
      </c>
      <c r="Q30" s="350">
        <f t="shared" si="72"/>
        <v>1665</v>
      </c>
      <c r="R30" s="350">
        <v>880</v>
      </c>
      <c r="S30" s="350">
        <v>491</v>
      </c>
      <c r="T30" s="362">
        <v>294</v>
      </c>
      <c r="U30" s="362">
        <f t="shared" si="73"/>
        <v>1456</v>
      </c>
      <c r="V30" s="350">
        <v>1275</v>
      </c>
      <c r="W30" s="350">
        <v>181</v>
      </c>
      <c r="X30" s="350">
        <v>444</v>
      </c>
      <c r="Y30" s="350">
        <f t="shared" si="74"/>
        <v>1351</v>
      </c>
      <c r="Z30" s="350">
        <v>518</v>
      </c>
      <c r="AA30" s="350">
        <v>190</v>
      </c>
      <c r="AB30" s="350">
        <v>67</v>
      </c>
      <c r="AC30" s="350">
        <v>140</v>
      </c>
      <c r="AD30" s="350">
        <v>436</v>
      </c>
      <c r="AE30" s="350">
        <f t="shared" si="75"/>
        <v>10023</v>
      </c>
      <c r="AF30" s="350">
        <v>3556</v>
      </c>
      <c r="AG30" s="350">
        <v>4274</v>
      </c>
      <c r="AH30" s="350">
        <v>692</v>
      </c>
      <c r="AI30" s="350">
        <v>1285</v>
      </c>
      <c r="AJ30" s="350">
        <v>216</v>
      </c>
      <c r="AK30" s="350">
        <f t="shared" si="76"/>
        <v>36</v>
      </c>
      <c r="AL30" s="350">
        <v>34</v>
      </c>
      <c r="AM30" s="350">
        <v>2</v>
      </c>
      <c r="AN30" s="350">
        <f t="shared" si="77"/>
        <v>13964</v>
      </c>
      <c r="AO30" s="350">
        <v>11574</v>
      </c>
      <c r="AP30" s="350">
        <v>1329</v>
      </c>
      <c r="AQ30" s="350">
        <v>152</v>
      </c>
      <c r="AR30" s="350">
        <v>907</v>
      </c>
      <c r="AS30" s="350">
        <v>2</v>
      </c>
      <c r="AT30" s="350">
        <f t="shared" si="78"/>
        <v>2295</v>
      </c>
      <c r="AU30" s="350">
        <f t="shared" si="79"/>
        <v>455</v>
      </c>
      <c r="AV30" s="350">
        <v>96</v>
      </c>
      <c r="AW30" s="350">
        <v>21</v>
      </c>
      <c r="AX30" s="350">
        <f t="shared" si="80"/>
        <v>338</v>
      </c>
      <c r="AY30" s="350">
        <v>26</v>
      </c>
      <c r="AZ30" s="350">
        <v>312</v>
      </c>
      <c r="BA30" s="360">
        <v>0</v>
      </c>
      <c r="BB30" s="350">
        <v>246</v>
      </c>
      <c r="BC30" s="350">
        <v>76</v>
      </c>
      <c r="BD30" s="350">
        <v>117</v>
      </c>
      <c r="BE30" s="351">
        <v>1401</v>
      </c>
    </row>
    <row r="31" ht="20.1" hidden="1" customHeight="1" outlineLevel="1" spans="1:57">
      <c r="A31" s="337"/>
      <c r="B31" s="338" t="s">
        <v>18</v>
      </c>
      <c r="C31" s="339" t="s">
        <v>14</v>
      </c>
      <c r="D31" s="350">
        <v>42145</v>
      </c>
      <c r="E31" s="350">
        <v>4408</v>
      </c>
      <c r="F31" s="350">
        <f t="shared" si="70"/>
        <v>6249</v>
      </c>
      <c r="G31" s="350">
        <f>3777-K31</f>
        <v>3774</v>
      </c>
      <c r="H31" s="350">
        <v>2998</v>
      </c>
      <c r="I31" s="350">
        <v>383</v>
      </c>
      <c r="J31" s="350">
        <v>377</v>
      </c>
      <c r="K31" s="350">
        <v>3</v>
      </c>
      <c r="L31" s="350">
        <v>841</v>
      </c>
      <c r="M31" s="350">
        <v>628</v>
      </c>
      <c r="N31" s="350">
        <v>400</v>
      </c>
      <c r="O31" s="350">
        <v>603</v>
      </c>
      <c r="P31" s="350">
        <f t="shared" si="71"/>
        <v>3527</v>
      </c>
      <c r="Q31" s="350">
        <f t="shared" si="72"/>
        <v>2038</v>
      </c>
      <c r="R31" s="350">
        <v>1275</v>
      </c>
      <c r="S31" s="350">
        <v>563</v>
      </c>
      <c r="T31" s="362">
        <v>200</v>
      </c>
      <c r="U31" s="362">
        <f t="shared" si="73"/>
        <v>976</v>
      </c>
      <c r="V31" s="350">
        <v>794</v>
      </c>
      <c r="W31" s="350">
        <v>182</v>
      </c>
      <c r="X31" s="350">
        <v>513</v>
      </c>
      <c r="Y31" s="350">
        <f t="shared" si="74"/>
        <v>1502</v>
      </c>
      <c r="Z31" s="350">
        <v>525</v>
      </c>
      <c r="AA31" s="350">
        <v>36</v>
      </c>
      <c r="AB31" s="350">
        <v>91</v>
      </c>
      <c r="AC31" s="350">
        <v>299</v>
      </c>
      <c r="AD31" s="350">
        <v>551</v>
      </c>
      <c r="AE31" s="350">
        <f t="shared" si="75"/>
        <v>11474</v>
      </c>
      <c r="AF31" s="350">
        <v>2908</v>
      </c>
      <c r="AG31" s="350">
        <v>318</v>
      </c>
      <c r="AH31" s="350">
        <v>1330</v>
      </c>
      <c r="AI31" s="350">
        <v>6607</v>
      </c>
      <c r="AJ31" s="350">
        <v>311</v>
      </c>
      <c r="AK31" s="350">
        <f t="shared" si="76"/>
        <v>142</v>
      </c>
      <c r="AL31" s="350">
        <v>142</v>
      </c>
      <c r="AM31" s="360">
        <v>0</v>
      </c>
      <c r="AN31" s="350">
        <f t="shared" si="77"/>
        <v>12609</v>
      </c>
      <c r="AO31" s="350">
        <v>10188</v>
      </c>
      <c r="AP31" s="350">
        <v>882</v>
      </c>
      <c r="AQ31" s="350">
        <v>42</v>
      </c>
      <c r="AR31" s="350">
        <v>1497</v>
      </c>
      <c r="AS31" s="360">
        <v>0</v>
      </c>
      <c r="AT31" s="350">
        <f t="shared" si="78"/>
        <v>1390</v>
      </c>
      <c r="AU31" s="350">
        <f t="shared" si="79"/>
        <v>784</v>
      </c>
      <c r="AV31" s="350">
        <v>209</v>
      </c>
      <c r="AW31" s="350">
        <v>33</v>
      </c>
      <c r="AX31" s="350">
        <f t="shared" si="80"/>
        <v>542</v>
      </c>
      <c r="AY31" s="350">
        <v>16</v>
      </c>
      <c r="AZ31" s="350">
        <v>526</v>
      </c>
      <c r="BA31" s="360">
        <v>0</v>
      </c>
      <c r="BB31" s="350">
        <v>226</v>
      </c>
      <c r="BC31" s="350">
        <v>60</v>
      </c>
      <c r="BD31" s="350">
        <v>139</v>
      </c>
      <c r="BE31" s="351">
        <v>181</v>
      </c>
    </row>
    <row r="32" ht="20.1" customHeight="1" collapsed="1" spans="1:57">
      <c r="A32" s="337"/>
      <c r="B32" s="338" t="s">
        <v>19</v>
      </c>
      <c r="C32" s="339" t="s">
        <v>14</v>
      </c>
      <c r="D32" s="350">
        <f t="shared" ref="D32:G32" si="81">D30-D31</f>
        <v>6999</v>
      </c>
      <c r="E32" s="350">
        <f t="shared" si="81"/>
        <v>-1022</v>
      </c>
      <c r="F32" s="350">
        <f t="shared" si="81"/>
        <v>8056</v>
      </c>
      <c r="G32" s="350">
        <f t="shared" si="81"/>
        <v>6120</v>
      </c>
      <c r="H32" s="350">
        <v>4060</v>
      </c>
      <c r="I32" s="350">
        <v>-130</v>
      </c>
      <c r="J32" s="350">
        <v>2191</v>
      </c>
      <c r="K32" s="350">
        <v>28</v>
      </c>
      <c r="L32" s="350">
        <v>1473</v>
      </c>
      <c r="M32" s="350">
        <v>794</v>
      </c>
      <c r="N32" s="350">
        <v>-203</v>
      </c>
      <c r="O32" s="350">
        <v>-156</v>
      </c>
      <c r="P32" s="350">
        <f t="shared" ref="P32:U32" si="82">P30-P31</f>
        <v>38</v>
      </c>
      <c r="Q32" s="350">
        <f t="shared" si="82"/>
        <v>-373</v>
      </c>
      <c r="R32" s="350">
        <v>-395</v>
      </c>
      <c r="S32" s="350">
        <v>-71</v>
      </c>
      <c r="T32" s="350">
        <v>94</v>
      </c>
      <c r="U32" s="350">
        <f t="shared" si="82"/>
        <v>480</v>
      </c>
      <c r="V32" s="350">
        <v>466</v>
      </c>
      <c r="W32" s="350">
        <v>-1</v>
      </c>
      <c r="X32" s="350">
        <v>-69</v>
      </c>
      <c r="Y32" s="350">
        <f>Y30-Y31</f>
        <v>-151</v>
      </c>
      <c r="Z32" s="350">
        <v>-7</v>
      </c>
      <c r="AA32" s="350">
        <v>154</v>
      </c>
      <c r="AB32" s="350">
        <v>-24</v>
      </c>
      <c r="AC32" s="350">
        <v>-159</v>
      </c>
      <c r="AD32" s="350">
        <v>-115</v>
      </c>
      <c r="AE32" s="350">
        <f>AE30-AE31</f>
        <v>-1451</v>
      </c>
      <c r="AF32" s="350">
        <v>648</v>
      </c>
      <c r="AG32" s="350">
        <v>3956</v>
      </c>
      <c r="AH32" s="350">
        <v>-638</v>
      </c>
      <c r="AI32" s="350">
        <v>-5322</v>
      </c>
      <c r="AJ32" s="350">
        <v>-95</v>
      </c>
      <c r="AK32" s="350">
        <f>AK30-AK31</f>
        <v>-106</v>
      </c>
      <c r="AL32" s="350">
        <v>-108</v>
      </c>
      <c r="AM32" s="360">
        <v>0</v>
      </c>
      <c r="AN32" s="350">
        <f>AN30-AN31</f>
        <v>1355</v>
      </c>
      <c r="AO32" s="350">
        <v>1386</v>
      </c>
      <c r="AP32" s="350">
        <v>447</v>
      </c>
      <c r="AQ32" s="350">
        <v>109</v>
      </c>
      <c r="AR32" s="350">
        <v>-590</v>
      </c>
      <c r="AS32" s="360">
        <v>0</v>
      </c>
      <c r="AT32" s="350">
        <f t="shared" ref="AT32:AX32" si="83">AT30-AT31</f>
        <v>905</v>
      </c>
      <c r="AU32" s="350">
        <f t="shared" si="83"/>
        <v>-329</v>
      </c>
      <c r="AV32" s="350">
        <v>-114</v>
      </c>
      <c r="AW32" s="350">
        <v>-12</v>
      </c>
      <c r="AX32" s="350">
        <f t="shared" si="83"/>
        <v>-204</v>
      </c>
      <c r="AY32" s="350">
        <v>10</v>
      </c>
      <c r="AZ32" s="350">
        <v>-215</v>
      </c>
      <c r="BA32" s="360">
        <v>0</v>
      </c>
      <c r="BB32" s="350">
        <v>20</v>
      </c>
      <c r="BC32" s="350">
        <v>16</v>
      </c>
      <c r="BD32" s="350">
        <v>-21</v>
      </c>
      <c r="BE32" s="351">
        <f>BE30-BE31</f>
        <v>1220</v>
      </c>
    </row>
    <row r="33" ht="20.1" customHeight="1" spans="1:57">
      <c r="A33" s="337"/>
      <c r="B33" s="338" t="s">
        <v>20</v>
      </c>
      <c r="C33" s="339" t="s">
        <v>21</v>
      </c>
      <c r="D33" s="352">
        <f t="shared" ref="D33:G33" si="84">D30/D31*100-100</f>
        <v>16.6069521888718</v>
      </c>
      <c r="E33" s="352">
        <f t="shared" si="84"/>
        <v>-23.1851179673321</v>
      </c>
      <c r="F33" s="352">
        <f t="shared" si="84"/>
        <v>128.916626660266</v>
      </c>
      <c r="G33" s="352">
        <f t="shared" si="84"/>
        <v>162.162162162162</v>
      </c>
      <c r="H33" s="350">
        <v>135.4</v>
      </c>
      <c r="I33" s="350">
        <v>-33.9</v>
      </c>
      <c r="J33" s="350">
        <v>581.3</v>
      </c>
      <c r="K33" s="350">
        <v>1052.6</v>
      </c>
      <c r="L33" s="350">
        <v>175.3</v>
      </c>
      <c r="M33" s="350">
        <v>126.3</v>
      </c>
      <c r="N33" s="350">
        <v>-50.8</v>
      </c>
      <c r="O33" s="350">
        <v>-25.8</v>
      </c>
      <c r="P33" s="352">
        <f t="shared" ref="P33:U33" si="85">P30/P31*100-100</f>
        <v>1.07740289197618</v>
      </c>
      <c r="Q33" s="352">
        <f t="shared" si="85"/>
        <v>-18.3022571148185</v>
      </c>
      <c r="R33" s="350">
        <v>-31</v>
      </c>
      <c r="S33" s="350">
        <v>-12.7</v>
      </c>
      <c r="T33" s="350">
        <v>47</v>
      </c>
      <c r="U33" s="352">
        <f t="shared" si="85"/>
        <v>49.1803278688525</v>
      </c>
      <c r="V33" s="350">
        <v>58.7</v>
      </c>
      <c r="W33" s="350">
        <v>-0.6</v>
      </c>
      <c r="X33" s="350">
        <v>-13.4</v>
      </c>
      <c r="Y33" s="352">
        <f>Y30/Y31*100-100</f>
        <v>-10.0532623169108</v>
      </c>
      <c r="Z33" s="350">
        <v>-1.4</v>
      </c>
      <c r="AA33" s="350">
        <v>427.5</v>
      </c>
      <c r="AB33" s="350">
        <v>-26.1</v>
      </c>
      <c r="AC33" s="350">
        <v>-53.2</v>
      </c>
      <c r="AD33" s="350">
        <v>-20.9</v>
      </c>
      <c r="AE33" s="352">
        <f>AE30/AE31*100-100</f>
        <v>-12.6459822206728</v>
      </c>
      <c r="AF33" s="350">
        <v>22.3</v>
      </c>
      <c r="AG33" s="350">
        <v>1242.4</v>
      </c>
      <c r="AH33" s="350">
        <v>-48</v>
      </c>
      <c r="AI33" s="350">
        <v>-80.6</v>
      </c>
      <c r="AJ33" s="350">
        <v>-30.6</v>
      </c>
      <c r="AK33" s="352">
        <f>AK30/AK31*100-100</f>
        <v>-74.6478873239437</v>
      </c>
      <c r="AL33" s="350">
        <v>-75.7</v>
      </c>
      <c r="AM33" s="360">
        <v>0</v>
      </c>
      <c r="AN33" s="352">
        <f>AN30/AN31*100-100</f>
        <v>10.7462923308748</v>
      </c>
      <c r="AO33" s="350">
        <v>13.6</v>
      </c>
      <c r="AP33" s="350">
        <v>50.7</v>
      </c>
      <c r="AQ33" s="350">
        <v>259</v>
      </c>
      <c r="AR33" s="350">
        <v>-39.4</v>
      </c>
      <c r="AS33" s="360">
        <v>0</v>
      </c>
      <c r="AT33" s="352">
        <f t="shared" ref="AT33:AX33" si="86">AT30/AT31*100-100</f>
        <v>65.1079136690647</v>
      </c>
      <c r="AU33" s="352">
        <f t="shared" si="86"/>
        <v>-41.9642857142857</v>
      </c>
      <c r="AV33" s="350">
        <v>-54.3</v>
      </c>
      <c r="AW33" s="350">
        <v>-37</v>
      </c>
      <c r="AX33" s="352">
        <f t="shared" si="86"/>
        <v>-37.6383763837638</v>
      </c>
      <c r="AY33" s="350">
        <v>66.2</v>
      </c>
      <c r="AZ33" s="350">
        <v>-40.8</v>
      </c>
      <c r="BA33" s="360">
        <v>0</v>
      </c>
      <c r="BB33" s="350">
        <v>8.7</v>
      </c>
      <c r="BC33" s="350">
        <v>26.3</v>
      </c>
      <c r="BD33" s="350">
        <v>-15.3</v>
      </c>
      <c r="BE33" s="353">
        <f>BE30/BE31*100-100</f>
        <v>674.033149171271</v>
      </c>
    </row>
    <row r="34" ht="20.1" hidden="1" customHeight="1" outlineLevel="1" spans="1:57">
      <c r="A34" s="337" t="s">
        <v>32</v>
      </c>
      <c r="B34" s="338" t="s">
        <v>16</v>
      </c>
      <c r="C34" s="339" t="s">
        <v>14</v>
      </c>
      <c r="D34" s="350">
        <v>18684</v>
      </c>
      <c r="E34" s="350">
        <v>260</v>
      </c>
      <c r="F34" s="350">
        <f t="shared" ref="F34:F36" si="87">G34+K34+L34+M34+N34+O34</f>
        <v>4560</v>
      </c>
      <c r="G34" s="350">
        <f>3093-K34</f>
        <v>3046</v>
      </c>
      <c r="H34" s="350">
        <v>2355</v>
      </c>
      <c r="I34" s="350">
        <v>198</v>
      </c>
      <c r="J34" s="350">
        <v>475</v>
      </c>
      <c r="K34" s="350">
        <v>47</v>
      </c>
      <c r="L34" s="350">
        <v>883</v>
      </c>
      <c r="M34" s="350">
        <v>290</v>
      </c>
      <c r="N34" s="350">
        <v>160</v>
      </c>
      <c r="O34" s="350">
        <v>134</v>
      </c>
      <c r="P34" s="350">
        <f t="shared" ref="P34:P36" si="88">Q34+U34+X34</f>
        <v>3833</v>
      </c>
      <c r="Q34" s="350">
        <f t="shared" ref="Q34:Q36" si="89">R34+S34+T34</f>
        <v>3122</v>
      </c>
      <c r="R34" s="350">
        <v>2534</v>
      </c>
      <c r="S34" s="350">
        <v>373</v>
      </c>
      <c r="T34" s="362">
        <v>215</v>
      </c>
      <c r="U34" s="362">
        <f t="shared" ref="U34:U36" si="90">V34+W34</f>
        <v>612</v>
      </c>
      <c r="V34" s="350">
        <v>535</v>
      </c>
      <c r="W34" s="350">
        <v>77</v>
      </c>
      <c r="X34" s="350">
        <v>99</v>
      </c>
      <c r="Y34" s="350">
        <f t="shared" ref="Y34:Y36" si="91">Z34+AA34+AB34+AC34+AD34</f>
        <v>1240</v>
      </c>
      <c r="Z34" s="350">
        <v>494</v>
      </c>
      <c r="AA34" s="350">
        <v>134</v>
      </c>
      <c r="AB34" s="350">
        <v>360</v>
      </c>
      <c r="AC34" s="350">
        <v>72</v>
      </c>
      <c r="AD34" s="350">
        <v>180</v>
      </c>
      <c r="AE34" s="350">
        <f t="shared" ref="AE34:AE36" si="92">AF34+AG34+AH34+AI34+AJ34</f>
        <v>7352</v>
      </c>
      <c r="AF34" s="350">
        <v>3972</v>
      </c>
      <c r="AG34" s="350">
        <v>487</v>
      </c>
      <c r="AH34" s="350">
        <v>1603</v>
      </c>
      <c r="AI34" s="350">
        <v>399</v>
      </c>
      <c r="AJ34" s="350">
        <v>891</v>
      </c>
      <c r="AK34" s="350">
        <f t="shared" ref="AK34:AK36" si="93">AL34+AM34</f>
        <v>260</v>
      </c>
      <c r="AL34" s="350">
        <v>115</v>
      </c>
      <c r="AM34" s="350">
        <v>145</v>
      </c>
      <c r="AN34" s="350">
        <f t="shared" ref="AN34:AN36" si="94">AO34+AP34+AQ34+AR34+AS34</f>
        <v>624</v>
      </c>
      <c r="AO34" s="350">
        <v>269</v>
      </c>
      <c r="AP34" s="350">
        <v>227</v>
      </c>
      <c r="AQ34" s="350">
        <v>27</v>
      </c>
      <c r="AR34" s="350">
        <v>92</v>
      </c>
      <c r="AS34" s="350">
        <v>9</v>
      </c>
      <c r="AT34" s="350">
        <f t="shared" ref="AT34:AT36" si="95">AU34+BB34+BC34+BD34+BE34</f>
        <v>527</v>
      </c>
      <c r="AU34" s="350">
        <f t="shared" ref="AU34:AU36" si="96">AV34+AW34+AX34</f>
        <v>111</v>
      </c>
      <c r="AV34" s="350">
        <v>27</v>
      </c>
      <c r="AW34" s="350">
        <v>60</v>
      </c>
      <c r="AX34" s="350">
        <f t="shared" ref="AX34:AX36" si="97">AY34+AZ34+BA34</f>
        <v>24</v>
      </c>
      <c r="AY34" s="350">
        <v>9</v>
      </c>
      <c r="AZ34" s="350">
        <v>15</v>
      </c>
      <c r="BA34" s="360">
        <v>0</v>
      </c>
      <c r="BB34" s="350">
        <v>138</v>
      </c>
      <c r="BC34" s="350">
        <v>75</v>
      </c>
      <c r="BD34" s="350">
        <v>171</v>
      </c>
      <c r="BE34" s="351">
        <v>32</v>
      </c>
    </row>
    <row r="35" ht="20.1" customHeight="1" collapsed="1" spans="1:57">
      <c r="A35" s="337"/>
      <c r="B35" s="338" t="s">
        <v>17</v>
      </c>
      <c r="C35" s="339" t="s">
        <v>14</v>
      </c>
      <c r="D35" s="350">
        <v>124028</v>
      </c>
      <c r="E35" s="350">
        <v>5104</v>
      </c>
      <c r="F35" s="350">
        <f t="shared" si="87"/>
        <v>48570</v>
      </c>
      <c r="G35" s="350">
        <f>35159-K35</f>
        <v>34554</v>
      </c>
      <c r="H35" s="350">
        <v>32237</v>
      </c>
      <c r="I35" s="350">
        <v>1525</v>
      </c>
      <c r="J35" s="350">
        <v>700</v>
      </c>
      <c r="K35" s="350">
        <v>605</v>
      </c>
      <c r="L35" s="350">
        <v>8970</v>
      </c>
      <c r="M35" s="350">
        <v>1097</v>
      </c>
      <c r="N35" s="350">
        <v>1607</v>
      </c>
      <c r="O35" s="350">
        <v>1737</v>
      </c>
      <c r="P35" s="350">
        <f t="shared" si="88"/>
        <v>20763</v>
      </c>
      <c r="Q35" s="350">
        <f t="shared" si="89"/>
        <v>16221</v>
      </c>
      <c r="R35" s="350">
        <v>11307</v>
      </c>
      <c r="S35" s="350">
        <v>3261</v>
      </c>
      <c r="T35" s="362">
        <v>1653</v>
      </c>
      <c r="U35" s="362">
        <f t="shared" si="90"/>
        <v>3912</v>
      </c>
      <c r="V35" s="350">
        <v>3414</v>
      </c>
      <c r="W35" s="350">
        <v>498</v>
      </c>
      <c r="X35" s="350">
        <v>630</v>
      </c>
      <c r="Y35" s="350">
        <f t="shared" si="91"/>
        <v>7175</v>
      </c>
      <c r="Z35" s="350">
        <v>2117</v>
      </c>
      <c r="AA35" s="350">
        <v>912</v>
      </c>
      <c r="AB35" s="350">
        <v>1846</v>
      </c>
      <c r="AC35" s="350">
        <v>1118</v>
      </c>
      <c r="AD35" s="350">
        <v>1182</v>
      </c>
      <c r="AE35" s="350">
        <f t="shared" si="92"/>
        <v>32512</v>
      </c>
      <c r="AF35" s="350">
        <v>17997</v>
      </c>
      <c r="AG35" s="350">
        <v>3567</v>
      </c>
      <c r="AH35" s="350">
        <v>5521</v>
      </c>
      <c r="AI35" s="350">
        <v>1375</v>
      </c>
      <c r="AJ35" s="350">
        <v>4052</v>
      </c>
      <c r="AK35" s="350">
        <f t="shared" si="93"/>
        <v>848</v>
      </c>
      <c r="AL35" s="350">
        <v>581</v>
      </c>
      <c r="AM35" s="350">
        <v>267</v>
      </c>
      <c r="AN35" s="350">
        <f t="shared" si="94"/>
        <v>4541</v>
      </c>
      <c r="AO35" s="350">
        <v>2238</v>
      </c>
      <c r="AP35" s="350">
        <v>1379</v>
      </c>
      <c r="AQ35" s="350">
        <v>198</v>
      </c>
      <c r="AR35" s="350">
        <v>671</v>
      </c>
      <c r="AS35" s="350">
        <v>55</v>
      </c>
      <c r="AT35" s="350">
        <f t="shared" si="95"/>
        <v>4181</v>
      </c>
      <c r="AU35" s="350">
        <f t="shared" si="96"/>
        <v>752</v>
      </c>
      <c r="AV35" s="350">
        <v>217</v>
      </c>
      <c r="AW35" s="350">
        <v>317</v>
      </c>
      <c r="AX35" s="350">
        <f t="shared" si="97"/>
        <v>218</v>
      </c>
      <c r="AY35" s="350">
        <v>110</v>
      </c>
      <c r="AZ35" s="350">
        <v>108</v>
      </c>
      <c r="BA35" s="360">
        <v>0</v>
      </c>
      <c r="BB35" s="350">
        <v>828</v>
      </c>
      <c r="BC35" s="350">
        <v>294</v>
      </c>
      <c r="BD35" s="350">
        <v>1897</v>
      </c>
      <c r="BE35" s="351">
        <v>410</v>
      </c>
    </row>
    <row r="36" ht="20.1" hidden="1" customHeight="1" outlineLevel="1" spans="1:57">
      <c r="A36" s="337"/>
      <c r="B36" s="338" t="s">
        <v>18</v>
      </c>
      <c r="C36" s="339" t="s">
        <v>14</v>
      </c>
      <c r="D36" s="350">
        <v>110771</v>
      </c>
      <c r="E36" s="350">
        <v>4944</v>
      </c>
      <c r="F36" s="350">
        <f t="shared" si="87"/>
        <v>46772</v>
      </c>
      <c r="G36" s="350">
        <f>35092-K36</f>
        <v>34516</v>
      </c>
      <c r="H36" s="350">
        <v>32812</v>
      </c>
      <c r="I36" s="350">
        <v>1238</v>
      </c>
      <c r="J36" s="350">
        <v>352</v>
      </c>
      <c r="K36" s="350">
        <v>576</v>
      </c>
      <c r="L36" s="350">
        <v>8319</v>
      </c>
      <c r="M36" s="350">
        <v>712</v>
      </c>
      <c r="N36" s="350">
        <v>1476</v>
      </c>
      <c r="O36" s="350">
        <v>1173</v>
      </c>
      <c r="P36" s="350">
        <f t="shared" si="88"/>
        <v>17562</v>
      </c>
      <c r="Q36" s="350">
        <f t="shared" si="89"/>
        <v>12387</v>
      </c>
      <c r="R36" s="350">
        <v>8578</v>
      </c>
      <c r="S36" s="350">
        <v>3057</v>
      </c>
      <c r="T36" s="362">
        <v>752</v>
      </c>
      <c r="U36" s="362">
        <f t="shared" si="90"/>
        <v>4305</v>
      </c>
      <c r="V36" s="350">
        <v>3974</v>
      </c>
      <c r="W36" s="350">
        <v>331</v>
      </c>
      <c r="X36" s="350">
        <v>870</v>
      </c>
      <c r="Y36" s="350">
        <f t="shared" si="91"/>
        <v>5027</v>
      </c>
      <c r="Z36" s="350">
        <v>903</v>
      </c>
      <c r="AA36" s="350">
        <v>392</v>
      </c>
      <c r="AB36" s="350">
        <v>1702</v>
      </c>
      <c r="AC36" s="350">
        <v>878</v>
      </c>
      <c r="AD36" s="350">
        <v>1152</v>
      </c>
      <c r="AE36" s="350">
        <f t="shared" si="92"/>
        <v>28015</v>
      </c>
      <c r="AF36" s="350">
        <v>15549</v>
      </c>
      <c r="AG36" s="350">
        <v>2793</v>
      </c>
      <c r="AH36" s="350">
        <v>5217</v>
      </c>
      <c r="AI36" s="350">
        <v>803</v>
      </c>
      <c r="AJ36" s="350">
        <v>3653</v>
      </c>
      <c r="AK36" s="350">
        <f t="shared" si="93"/>
        <v>391</v>
      </c>
      <c r="AL36" s="350">
        <v>391</v>
      </c>
      <c r="AM36" s="360">
        <v>0</v>
      </c>
      <c r="AN36" s="350">
        <f t="shared" si="94"/>
        <v>4112</v>
      </c>
      <c r="AO36" s="350">
        <v>1799</v>
      </c>
      <c r="AP36" s="350">
        <v>1434</v>
      </c>
      <c r="AQ36" s="350">
        <v>221</v>
      </c>
      <c r="AR36" s="350">
        <v>658</v>
      </c>
      <c r="AS36" s="360">
        <v>0</v>
      </c>
      <c r="AT36" s="350">
        <f t="shared" si="95"/>
        <v>3695</v>
      </c>
      <c r="AU36" s="350">
        <f t="shared" si="96"/>
        <v>463</v>
      </c>
      <c r="AV36" s="350">
        <v>108</v>
      </c>
      <c r="AW36" s="350">
        <v>219</v>
      </c>
      <c r="AX36" s="350">
        <f t="shared" si="97"/>
        <v>136</v>
      </c>
      <c r="AY36" s="350">
        <v>81</v>
      </c>
      <c r="AZ36" s="350">
        <v>55</v>
      </c>
      <c r="BA36" s="360">
        <v>0</v>
      </c>
      <c r="BB36" s="350">
        <v>811</v>
      </c>
      <c r="BC36" s="350">
        <v>157</v>
      </c>
      <c r="BD36" s="350">
        <v>1897</v>
      </c>
      <c r="BE36" s="351">
        <v>367</v>
      </c>
    </row>
    <row r="37" ht="20.1" customHeight="1" collapsed="1" spans="1:57">
      <c r="A37" s="337"/>
      <c r="B37" s="338" t="s">
        <v>19</v>
      </c>
      <c r="C37" s="339" t="s">
        <v>14</v>
      </c>
      <c r="D37" s="350">
        <f t="shared" ref="D37:G37" si="98">D35-D36</f>
        <v>13257</v>
      </c>
      <c r="E37" s="350">
        <v>161</v>
      </c>
      <c r="F37" s="350">
        <f t="shared" si="98"/>
        <v>1798</v>
      </c>
      <c r="G37" s="350">
        <f t="shared" si="98"/>
        <v>38</v>
      </c>
      <c r="H37" s="350">
        <v>-575</v>
      </c>
      <c r="I37" s="350">
        <v>286</v>
      </c>
      <c r="J37" s="350">
        <v>348</v>
      </c>
      <c r="K37" s="350">
        <v>28</v>
      </c>
      <c r="L37" s="350">
        <v>651</v>
      </c>
      <c r="M37" s="350">
        <v>386</v>
      </c>
      <c r="N37" s="350">
        <v>131</v>
      </c>
      <c r="O37" s="350">
        <v>564</v>
      </c>
      <c r="P37" s="350">
        <f t="shared" ref="P37:U37" si="99">P35-P36</f>
        <v>3201</v>
      </c>
      <c r="Q37" s="350">
        <f t="shared" si="99"/>
        <v>3834</v>
      </c>
      <c r="R37" s="350">
        <v>2729</v>
      </c>
      <c r="S37" s="350">
        <v>204</v>
      </c>
      <c r="T37" s="350">
        <v>901</v>
      </c>
      <c r="U37" s="350">
        <f t="shared" si="99"/>
        <v>-393</v>
      </c>
      <c r="V37" s="350">
        <v>-560</v>
      </c>
      <c r="W37" s="350">
        <v>167</v>
      </c>
      <c r="X37" s="350">
        <v>-240</v>
      </c>
      <c r="Y37" s="350">
        <f>Y35-Y36</f>
        <v>2148</v>
      </c>
      <c r="Z37" s="350">
        <v>1215</v>
      </c>
      <c r="AA37" s="350">
        <v>520</v>
      </c>
      <c r="AB37" s="350">
        <v>144</v>
      </c>
      <c r="AC37" s="350">
        <v>240</v>
      </c>
      <c r="AD37" s="350">
        <v>31</v>
      </c>
      <c r="AE37" s="350">
        <f>AE35-AE36</f>
        <v>4497</v>
      </c>
      <c r="AF37" s="350">
        <v>2448</v>
      </c>
      <c r="AG37" s="350">
        <v>774</v>
      </c>
      <c r="AH37" s="350">
        <v>304</v>
      </c>
      <c r="AI37" s="350">
        <v>572</v>
      </c>
      <c r="AJ37" s="350">
        <v>398</v>
      </c>
      <c r="AK37" s="350">
        <f>AK35-AK36</f>
        <v>457</v>
      </c>
      <c r="AL37" s="350">
        <v>190</v>
      </c>
      <c r="AM37" s="360">
        <v>0</v>
      </c>
      <c r="AN37" s="350">
        <f>AN35-AN36</f>
        <v>429</v>
      </c>
      <c r="AO37" s="350">
        <v>439</v>
      </c>
      <c r="AP37" s="350">
        <v>-55</v>
      </c>
      <c r="AQ37" s="350">
        <v>-23</v>
      </c>
      <c r="AR37" s="350">
        <v>13</v>
      </c>
      <c r="AS37" s="360">
        <v>0</v>
      </c>
      <c r="AT37" s="350">
        <f t="shared" ref="AT37:AX37" si="100">AT35-AT36</f>
        <v>486</v>
      </c>
      <c r="AU37" s="350">
        <f t="shared" si="100"/>
        <v>289</v>
      </c>
      <c r="AV37" s="350">
        <v>109</v>
      </c>
      <c r="AW37" s="350">
        <v>98</v>
      </c>
      <c r="AX37" s="350">
        <f t="shared" si="100"/>
        <v>82</v>
      </c>
      <c r="AY37" s="350">
        <v>29</v>
      </c>
      <c r="AZ37" s="350">
        <v>53</v>
      </c>
      <c r="BA37" s="360">
        <v>0</v>
      </c>
      <c r="BB37" s="350">
        <v>17</v>
      </c>
      <c r="BC37" s="350">
        <v>137</v>
      </c>
      <c r="BD37" s="350">
        <v>-1</v>
      </c>
      <c r="BE37" s="351">
        <f>BE35-BE36</f>
        <v>43</v>
      </c>
    </row>
    <row r="38" ht="20.1" customHeight="1" spans="1:57">
      <c r="A38" s="337"/>
      <c r="B38" s="338" t="s">
        <v>20</v>
      </c>
      <c r="C38" s="339" t="s">
        <v>21</v>
      </c>
      <c r="D38" s="352">
        <f t="shared" ref="D38:G38" si="101">D35/D36*100-100</f>
        <v>11.9679338455011</v>
      </c>
      <c r="E38" s="350">
        <v>3.2</v>
      </c>
      <c r="F38" s="352">
        <f t="shared" si="101"/>
        <v>3.84418027879929</v>
      </c>
      <c r="G38" s="352">
        <f t="shared" si="101"/>
        <v>0.110093869509797</v>
      </c>
      <c r="H38" s="350">
        <v>-1.8</v>
      </c>
      <c r="I38" s="350">
        <v>23.1</v>
      </c>
      <c r="J38" s="350">
        <v>99</v>
      </c>
      <c r="K38" s="350">
        <v>4.9</v>
      </c>
      <c r="L38" s="350">
        <v>7.8</v>
      </c>
      <c r="M38" s="350">
        <v>54.2</v>
      </c>
      <c r="N38" s="350">
        <v>8.9</v>
      </c>
      <c r="O38" s="350">
        <v>48.1</v>
      </c>
      <c r="P38" s="352">
        <f t="shared" ref="P38:U38" si="102">P35/P36*100-100</f>
        <v>18.2268534335497</v>
      </c>
      <c r="Q38" s="352">
        <f t="shared" si="102"/>
        <v>30.9518043109712</v>
      </c>
      <c r="R38" s="350">
        <v>31.8</v>
      </c>
      <c r="S38" s="350">
        <v>6.7</v>
      </c>
      <c r="T38" s="350">
        <v>119.9</v>
      </c>
      <c r="U38" s="352">
        <f t="shared" si="102"/>
        <v>-9.12891986062718</v>
      </c>
      <c r="V38" s="350">
        <v>-14.1</v>
      </c>
      <c r="W38" s="350">
        <v>50.4</v>
      </c>
      <c r="X38" s="350">
        <v>-27.6</v>
      </c>
      <c r="Y38" s="352">
        <f>Y35/Y36*100-100</f>
        <v>42.7292619852795</v>
      </c>
      <c r="Z38" s="350">
        <v>134.6</v>
      </c>
      <c r="AA38" s="350">
        <v>132.6</v>
      </c>
      <c r="AB38" s="350">
        <v>8.5</v>
      </c>
      <c r="AC38" s="350">
        <v>27.3</v>
      </c>
      <c r="AD38" s="350">
        <v>2.6</v>
      </c>
      <c r="AE38" s="352">
        <f>AE35/AE36*100-100</f>
        <v>16.0521149384258</v>
      </c>
      <c r="AF38" s="350">
        <v>15.7</v>
      </c>
      <c r="AG38" s="350">
        <v>27.7</v>
      </c>
      <c r="AH38" s="350">
        <v>5.8</v>
      </c>
      <c r="AI38" s="350">
        <v>71.2</v>
      </c>
      <c r="AJ38" s="350">
        <v>10.9</v>
      </c>
      <c r="AK38" s="352">
        <f>AK35/AK36*100-100</f>
        <v>116.879795396419</v>
      </c>
      <c r="AL38" s="350">
        <v>48.5</v>
      </c>
      <c r="AM38" s="360">
        <v>0</v>
      </c>
      <c r="AN38" s="352">
        <f>AN35/AN36*100-100</f>
        <v>10.4328793774319</v>
      </c>
      <c r="AO38" s="350">
        <v>24.4</v>
      </c>
      <c r="AP38" s="350">
        <v>-3.8</v>
      </c>
      <c r="AQ38" s="350">
        <v>-10.6</v>
      </c>
      <c r="AR38" s="350">
        <v>1.9</v>
      </c>
      <c r="AS38" s="360">
        <v>0</v>
      </c>
      <c r="AT38" s="352">
        <f t="shared" ref="AT38:AX38" si="103">AT35/AT36*100-100</f>
        <v>13.1529093369418</v>
      </c>
      <c r="AU38" s="352">
        <f t="shared" si="103"/>
        <v>62.4190064794817</v>
      </c>
      <c r="AV38" s="350">
        <v>101.2</v>
      </c>
      <c r="AW38" s="350">
        <v>45</v>
      </c>
      <c r="AX38" s="352">
        <f t="shared" si="103"/>
        <v>60.2941176470588</v>
      </c>
      <c r="AY38" s="350">
        <v>36.3</v>
      </c>
      <c r="AZ38" s="350">
        <v>96.9</v>
      </c>
      <c r="BA38" s="360">
        <v>0</v>
      </c>
      <c r="BB38" s="350">
        <v>2.1</v>
      </c>
      <c r="BC38" s="350">
        <v>87</v>
      </c>
      <c r="BD38" s="350">
        <v>0</v>
      </c>
      <c r="BE38" s="353">
        <f>BE35/BE36*100-100</f>
        <v>11.716621253406</v>
      </c>
    </row>
    <row r="39" ht="20.1" customHeight="1" spans="1:57">
      <c r="A39" s="358" t="s">
        <v>34</v>
      </c>
      <c r="B39" s="338" t="s">
        <v>16</v>
      </c>
      <c r="C39" s="339" t="s">
        <v>35</v>
      </c>
      <c r="D39" s="350">
        <v>24139</v>
      </c>
      <c r="E39" s="350">
        <v>216</v>
      </c>
      <c r="F39" s="350">
        <f>G39+K39+L39+M39+N39+O39</f>
        <v>4291</v>
      </c>
      <c r="G39" s="350">
        <f>3095-K39</f>
        <v>3055</v>
      </c>
      <c r="H39" s="350">
        <v>2764</v>
      </c>
      <c r="I39" s="350">
        <v>205</v>
      </c>
      <c r="J39" s="350">
        <v>70</v>
      </c>
      <c r="K39" s="350">
        <v>40</v>
      </c>
      <c r="L39" s="350">
        <v>659</v>
      </c>
      <c r="M39" s="350">
        <v>252</v>
      </c>
      <c r="N39" s="350">
        <v>142</v>
      </c>
      <c r="O39" s="350">
        <v>143</v>
      </c>
      <c r="P39" s="350">
        <f>Q39+U39+X39</f>
        <v>5687</v>
      </c>
      <c r="Q39" s="350">
        <f>R39+S39+T39</f>
        <v>4614</v>
      </c>
      <c r="R39" s="350">
        <v>4091</v>
      </c>
      <c r="S39" s="350">
        <v>215</v>
      </c>
      <c r="T39" s="350">
        <v>308</v>
      </c>
      <c r="U39" s="350">
        <f>V39+W39</f>
        <v>899</v>
      </c>
      <c r="V39" s="350">
        <v>795</v>
      </c>
      <c r="W39" s="350">
        <v>104</v>
      </c>
      <c r="X39" s="350">
        <v>174</v>
      </c>
      <c r="Y39" s="350">
        <f>Z39+AA39+AB39+AC39+AD39</f>
        <v>1057</v>
      </c>
      <c r="Z39" s="350">
        <v>320</v>
      </c>
      <c r="AA39" s="350">
        <v>132</v>
      </c>
      <c r="AB39" s="350">
        <v>333</v>
      </c>
      <c r="AC39" s="350">
        <v>111</v>
      </c>
      <c r="AD39" s="350">
        <v>161</v>
      </c>
      <c r="AE39" s="350">
        <f>AF39+AG39+AH39+AI39+AJ39</f>
        <v>10649</v>
      </c>
      <c r="AF39" s="350">
        <v>4745</v>
      </c>
      <c r="AG39" s="350">
        <v>1010</v>
      </c>
      <c r="AH39" s="350">
        <v>2545</v>
      </c>
      <c r="AI39" s="350">
        <v>456</v>
      </c>
      <c r="AJ39" s="350">
        <v>1893</v>
      </c>
      <c r="AK39" s="350">
        <f>AL39+AM39</f>
        <v>451</v>
      </c>
      <c r="AL39" s="350">
        <v>137</v>
      </c>
      <c r="AM39" s="350">
        <v>314</v>
      </c>
      <c r="AN39" s="350">
        <f>AO39+AP39+AQ39+AR39+AS39</f>
        <v>644</v>
      </c>
      <c r="AO39" s="350">
        <v>249</v>
      </c>
      <c r="AP39" s="350">
        <v>238</v>
      </c>
      <c r="AQ39" s="350">
        <v>48</v>
      </c>
      <c r="AR39" s="350">
        <v>96</v>
      </c>
      <c r="AS39" s="350">
        <v>13</v>
      </c>
      <c r="AT39" s="350">
        <f>AU39+BB39+BC39+BD39+BE39</f>
        <v>1103</v>
      </c>
      <c r="AU39" s="350">
        <f>AV39+AW39+AX39</f>
        <v>86</v>
      </c>
      <c r="AV39" s="350">
        <v>18</v>
      </c>
      <c r="AW39" s="350">
        <v>47</v>
      </c>
      <c r="AX39" s="350">
        <f>AY39+AZ39+BA39</f>
        <v>21</v>
      </c>
      <c r="AY39" s="350">
        <v>6</v>
      </c>
      <c r="AZ39" s="350">
        <v>15</v>
      </c>
      <c r="BA39" s="350">
        <v>0</v>
      </c>
      <c r="BB39" s="350">
        <v>255</v>
      </c>
      <c r="BC39" s="350">
        <v>404</v>
      </c>
      <c r="BD39" s="350">
        <v>331</v>
      </c>
      <c r="BE39" s="351">
        <v>27</v>
      </c>
    </row>
    <row r="40" ht="24" hidden="1" customHeight="1" outlineLevel="1" spans="1:57">
      <c r="A40" s="358"/>
      <c r="B40" s="338" t="s">
        <v>18</v>
      </c>
      <c r="C40" s="339" t="s">
        <v>35</v>
      </c>
      <c r="D40" s="350">
        <v>21196</v>
      </c>
      <c r="E40" s="350">
        <v>224</v>
      </c>
      <c r="F40" s="350">
        <f>G40+K40+L40+M40+N40+O40</f>
        <v>4074</v>
      </c>
      <c r="G40" s="350">
        <f>2936-K40</f>
        <v>2896</v>
      </c>
      <c r="H40" s="350">
        <v>2654</v>
      </c>
      <c r="I40" s="350">
        <v>167</v>
      </c>
      <c r="J40" s="350">
        <v>58</v>
      </c>
      <c r="K40" s="350">
        <v>40</v>
      </c>
      <c r="L40" s="350">
        <v>618</v>
      </c>
      <c r="M40" s="350">
        <v>256</v>
      </c>
      <c r="N40" s="350">
        <v>127</v>
      </c>
      <c r="O40" s="350">
        <v>137</v>
      </c>
      <c r="P40" s="350">
        <f>Q40+U40+X40</f>
        <v>4826</v>
      </c>
      <c r="Q40" s="350">
        <f>R40+S40+T40</f>
        <v>3710</v>
      </c>
      <c r="R40" s="350">
        <v>3111</v>
      </c>
      <c r="S40" s="350">
        <v>223</v>
      </c>
      <c r="T40" s="350">
        <v>376</v>
      </c>
      <c r="U40" s="350">
        <f>V40+W40</f>
        <v>928</v>
      </c>
      <c r="V40" s="350">
        <v>829</v>
      </c>
      <c r="W40" s="350">
        <v>99</v>
      </c>
      <c r="X40" s="350">
        <v>188</v>
      </c>
      <c r="Y40" s="350">
        <f>Z40+AA40+AB40+AC40+AD40</f>
        <v>806</v>
      </c>
      <c r="Z40" s="350">
        <v>163</v>
      </c>
      <c r="AA40" s="350">
        <v>89</v>
      </c>
      <c r="AB40" s="350">
        <v>275</v>
      </c>
      <c r="AC40" s="350">
        <v>111</v>
      </c>
      <c r="AD40" s="350">
        <v>168</v>
      </c>
      <c r="AE40" s="350">
        <f>AF40+AG40+AH40+AI40+AJ40</f>
        <v>9277</v>
      </c>
      <c r="AF40" s="350">
        <v>4663</v>
      </c>
      <c r="AG40" s="350">
        <v>631</v>
      </c>
      <c r="AH40" s="350">
        <v>1944</v>
      </c>
      <c r="AI40" s="350">
        <v>284</v>
      </c>
      <c r="AJ40" s="350">
        <v>1755</v>
      </c>
      <c r="AK40" s="350">
        <f>AL40+AM40</f>
        <v>85</v>
      </c>
      <c r="AL40" s="350">
        <v>85</v>
      </c>
      <c r="AM40" s="350">
        <v>0</v>
      </c>
      <c r="AN40" s="350">
        <f>AO40+AP40+AQ40+AR40+AS40</f>
        <v>675</v>
      </c>
      <c r="AO40" s="350">
        <v>268</v>
      </c>
      <c r="AP40" s="350">
        <v>245</v>
      </c>
      <c r="AQ40" s="350">
        <v>61</v>
      </c>
      <c r="AR40" s="350">
        <v>101</v>
      </c>
      <c r="AS40" s="350">
        <v>0</v>
      </c>
      <c r="AT40" s="350">
        <f>AU40+BB40+BC40+BD40+BE40</f>
        <v>1205</v>
      </c>
      <c r="AU40" s="350">
        <f>AV40+AW40+AX40</f>
        <v>100</v>
      </c>
      <c r="AV40" s="350">
        <v>20</v>
      </c>
      <c r="AW40" s="350">
        <v>63</v>
      </c>
      <c r="AX40" s="350">
        <f>AY40+AZ40+BA40</f>
        <v>17</v>
      </c>
      <c r="AY40" s="350">
        <v>8</v>
      </c>
      <c r="AZ40" s="350">
        <v>9</v>
      </c>
      <c r="BA40" s="350">
        <v>0</v>
      </c>
      <c r="BB40" s="350">
        <v>320</v>
      </c>
      <c r="BC40" s="350">
        <v>395</v>
      </c>
      <c r="BD40" s="350">
        <v>365</v>
      </c>
      <c r="BE40" s="351">
        <v>25</v>
      </c>
    </row>
    <row r="41" ht="21" customHeight="1" collapsed="1" spans="1:57">
      <c r="A41" s="358"/>
      <c r="B41" s="338" t="s">
        <v>19</v>
      </c>
      <c r="C41" s="339" t="s">
        <v>35</v>
      </c>
      <c r="D41" s="350">
        <f>D39-D40</f>
        <v>2943</v>
      </c>
      <c r="E41" s="350">
        <f t="shared" ref="E41:AJ41" si="104">E39-E40</f>
        <v>-8</v>
      </c>
      <c r="F41" s="350">
        <f t="shared" si="104"/>
        <v>217</v>
      </c>
      <c r="G41" s="350">
        <f t="shared" si="104"/>
        <v>159</v>
      </c>
      <c r="H41" s="350">
        <f t="shared" si="104"/>
        <v>110</v>
      </c>
      <c r="I41" s="350">
        <f t="shared" si="104"/>
        <v>38</v>
      </c>
      <c r="J41" s="350">
        <f t="shared" si="104"/>
        <v>12</v>
      </c>
      <c r="K41" s="350">
        <f t="shared" si="104"/>
        <v>0</v>
      </c>
      <c r="L41" s="350">
        <f t="shared" si="104"/>
        <v>41</v>
      </c>
      <c r="M41" s="350">
        <f t="shared" si="104"/>
        <v>-4</v>
      </c>
      <c r="N41" s="350">
        <f t="shared" si="104"/>
        <v>15</v>
      </c>
      <c r="O41" s="350">
        <f t="shared" si="104"/>
        <v>6</v>
      </c>
      <c r="P41" s="350">
        <f t="shared" si="104"/>
        <v>861</v>
      </c>
      <c r="Q41" s="350">
        <f t="shared" si="104"/>
        <v>904</v>
      </c>
      <c r="R41" s="350">
        <f t="shared" si="104"/>
        <v>980</v>
      </c>
      <c r="S41" s="350">
        <f t="shared" si="104"/>
        <v>-8</v>
      </c>
      <c r="T41" s="350">
        <f t="shared" si="104"/>
        <v>-68</v>
      </c>
      <c r="U41" s="350">
        <f t="shared" si="104"/>
        <v>-29</v>
      </c>
      <c r="V41" s="350">
        <f t="shared" si="104"/>
        <v>-34</v>
      </c>
      <c r="W41" s="350">
        <f t="shared" si="104"/>
        <v>5</v>
      </c>
      <c r="X41" s="350">
        <f t="shared" si="104"/>
        <v>-14</v>
      </c>
      <c r="Y41" s="350">
        <f t="shared" si="104"/>
        <v>251</v>
      </c>
      <c r="Z41" s="350">
        <f t="shared" si="104"/>
        <v>157</v>
      </c>
      <c r="AA41" s="350">
        <f t="shared" si="104"/>
        <v>43</v>
      </c>
      <c r="AB41" s="350">
        <f t="shared" si="104"/>
        <v>58</v>
      </c>
      <c r="AC41" s="350">
        <f t="shared" si="104"/>
        <v>0</v>
      </c>
      <c r="AD41" s="350">
        <f t="shared" si="104"/>
        <v>-7</v>
      </c>
      <c r="AE41" s="350">
        <f t="shared" si="104"/>
        <v>1372</v>
      </c>
      <c r="AF41" s="350">
        <f t="shared" si="104"/>
        <v>82</v>
      </c>
      <c r="AG41" s="350">
        <f t="shared" si="104"/>
        <v>379</v>
      </c>
      <c r="AH41" s="350">
        <f t="shared" si="104"/>
        <v>601</v>
      </c>
      <c r="AI41" s="350">
        <f t="shared" si="104"/>
        <v>172</v>
      </c>
      <c r="AJ41" s="350">
        <f t="shared" si="104"/>
        <v>138</v>
      </c>
      <c r="AK41" s="350">
        <f t="shared" ref="AK41:BC41" si="105">AK39-AK40</f>
        <v>366</v>
      </c>
      <c r="AL41" s="350">
        <f t="shared" si="105"/>
        <v>52</v>
      </c>
      <c r="AM41" s="350">
        <f t="shared" si="105"/>
        <v>314</v>
      </c>
      <c r="AN41" s="350">
        <f t="shared" si="105"/>
        <v>-31</v>
      </c>
      <c r="AO41" s="350">
        <f t="shared" si="105"/>
        <v>-19</v>
      </c>
      <c r="AP41" s="350">
        <f t="shared" si="105"/>
        <v>-7</v>
      </c>
      <c r="AQ41" s="350">
        <f t="shared" si="105"/>
        <v>-13</v>
      </c>
      <c r="AR41" s="350">
        <f t="shared" si="105"/>
        <v>-5</v>
      </c>
      <c r="AS41" s="350">
        <f t="shared" si="105"/>
        <v>13</v>
      </c>
      <c r="AT41" s="350">
        <f t="shared" si="105"/>
        <v>-102</v>
      </c>
      <c r="AU41" s="350">
        <f t="shared" si="105"/>
        <v>-14</v>
      </c>
      <c r="AV41" s="350">
        <f t="shared" si="105"/>
        <v>-2</v>
      </c>
      <c r="AW41" s="350">
        <f t="shared" si="105"/>
        <v>-16</v>
      </c>
      <c r="AX41" s="350">
        <f t="shared" si="105"/>
        <v>4</v>
      </c>
      <c r="AY41" s="350">
        <f t="shared" si="105"/>
        <v>-2</v>
      </c>
      <c r="AZ41" s="350">
        <f t="shared" si="105"/>
        <v>6</v>
      </c>
      <c r="BA41" s="350">
        <f t="shared" si="105"/>
        <v>0</v>
      </c>
      <c r="BB41" s="350">
        <f t="shared" si="105"/>
        <v>-65</v>
      </c>
      <c r="BC41" s="350">
        <f t="shared" si="105"/>
        <v>9</v>
      </c>
      <c r="BD41" s="366"/>
      <c r="BE41" s="369"/>
    </row>
    <row r="42" ht="20.1" customHeight="1" spans="1:57">
      <c r="A42" s="358"/>
      <c r="B42" s="338" t="s">
        <v>20</v>
      </c>
      <c r="C42" s="339" t="s">
        <v>21</v>
      </c>
      <c r="D42" s="352">
        <f>D41/D40*100</f>
        <v>13.8846952255142</v>
      </c>
      <c r="E42" s="352">
        <f t="shared" ref="E42:AJ42" si="106">E41/E40*100</f>
        <v>-3.57142857142857</v>
      </c>
      <c r="F42" s="352">
        <f t="shared" si="106"/>
        <v>5.32646048109966</v>
      </c>
      <c r="G42" s="352">
        <f t="shared" si="106"/>
        <v>5.49033149171271</v>
      </c>
      <c r="H42" s="352">
        <f t="shared" si="106"/>
        <v>4.14468726450641</v>
      </c>
      <c r="I42" s="352">
        <f t="shared" si="106"/>
        <v>22.7544910179641</v>
      </c>
      <c r="J42" s="352">
        <f t="shared" si="106"/>
        <v>20.6896551724138</v>
      </c>
      <c r="K42" s="352">
        <f t="shared" si="106"/>
        <v>0</v>
      </c>
      <c r="L42" s="352">
        <f t="shared" si="106"/>
        <v>6.63430420711974</v>
      </c>
      <c r="M42" s="352">
        <f t="shared" si="106"/>
        <v>-1.5625</v>
      </c>
      <c r="N42" s="352">
        <f t="shared" si="106"/>
        <v>11.8110236220472</v>
      </c>
      <c r="O42" s="352">
        <f t="shared" si="106"/>
        <v>4.37956204379562</v>
      </c>
      <c r="P42" s="352">
        <f t="shared" si="106"/>
        <v>17.8408619975135</v>
      </c>
      <c r="Q42" s="352">
        <f t="shared" si="106"/>
        <v>24.366576819407</v>
      </c>
      <c r="R42" s="352">
        <f t="shared" si="106"/>
        <v>31.50112504018</v>
      </c>
      <c r="S42" s="352">
        <f t="shared" si="106"/>
        <v>-3.58744394618834</v>
      </c>
      <c r="T42" s="352">
        <f t="shared" si="106"/>
        <v>-18.0851063829787</v>
      </c>
      <c r="U42" s="352">
        <f t="shared" si="106"/>
        <v>-3.125</v>
      </c>
      <c r="V42" s="352">
        <f t="shared" si="106"/>
        <v>-4.10132689987937</v>
      </c>
      <c r="W42" s="352">
        <f t="shared" si="106"/>
        <v>5.05050505050505</v>
      </c>
      <c r="X42" s="352">
        <f t="shared" si="106"/>
        <v>-7.4468085106383</v>
      </c>
      <c r="Y42" s="352">
        <f t="shared" si="106"/>
        <v>31.1414392059553</v>
      </c>
      <c r="Z42" s="352">
        <f t="shared" si="106"/>
        <v>96.319018404908</v>
      </c>
      <c r="AA42" s="352">
        <f t="shared" si="106"/>
        <v>48.314606741573</v>
      </c>
      <c r="AB42" s="352">
        <f t="shared" si="106"/>
        <v>21.0909090909091</v>
      </c>
      <c r="AC42" s="352">
        <f t="shared" si="106"/>
        <v>0</v>
      </c>
      <c r="AD42" s="352">
        <f t="shared" si="106"/>
        <v>-4.16666666666667</v>
      </c>
      <c r="AE42" s="352">
        <f t="shared" si="106"/>
        <v>14.7892637706155</v>
      </c>
      <c r="AF42" s="352">
        <f t="shared" si="106"/>
        <v>1.75852455500751</v>
      </c>
      <c r="AG42" s="352">
        <f t="shared" si="106"/>
        <v>60.0633914421553</v>
      </c>
      <c r="AH42" s="352">
        <f t="shared" si="106"/>
        <v>30.9156378600823</v>
      </c>
      <c r="AI42" s="352">
        <f t="shared" si="106"/>
        <v>60.5633802816901</v>
      </c>
      <c r="AJ42" s="352">
        <f t="shared" si="106"/>
        <v>7.86324786324786</v>
      </c>
      <c r="AK42" s="352">
        <f t="shared" ref="AK42:BC42" si="107">AK41/AK40*100</f>
        <v>430.588235294118</v>
      </c>
      <c r="AL42" s="352">
        <f t="shared" si="107"/>
        <v>61.1764705882353</v>
      </c>
      <c r="AM42" s="352" t="s">
        <v>25</v>
      </c>
      <c r="AN42" s="352">
        <f t="shared" si="107"/>
        <v>-4.59259259259259</v>
      </c>
      <c r="AO42" s="352">
        <f t="shared" si="107"/>
        <v>-7.08955223880597</v>
      </c>
      <c r="AP42" s="352">
        <f t="shared" si="107"/>
        <v>-2.85714285714286</v>
      </c>
      <c r="AQ42" s="352">
        <f t="shared" si="107"/>
        <v>-21.3114754098361</v>
      </c>
      <c r="AR42" s="352">
        <f t="shared" si="107"/>
        <v>-4.95049504950495</v>
      </c>
      <c r="AS42" s="352" t="s">
        <v>25</v>
      </c>
      <c r="AT42" s="352">
        <f t="shared" si="107"/>
        <v>-8.46473029045643</v>
      </c>
      <c r="AU42" s="352">
        <f t="shared" si="107"/>
        <v>-14</v>
      </c>
      <c r="AV42" s="352">
        <f t="shared" si="107"/>
        <v>-10</v>
      </c>
      <c r="AW42" s="352">
        <f t="shared" si="107"/>
        <v>-25.3968253968254</v>
      </c>
      <c r="AX42" s="352">
        <f t="shared" si="107"/>
        <v>23.5294117647059</v>
      </c>
      <c r="AY42" s="352">
        <f t="shared" si="107"/>
        <v>-25</v>
      </c>
      <c r="AZ42" s="352">
        <f t="shared" si="107"/>
        <v>66.6666666666667</v>
      </c>
      <c r="BA42" s="352" t="e">
        <f t="shared" si="107"/>
        <v>#DIV/0!</v>
      </c>
      <c r="BB42" s="352">
        <f t="shared" si="107"/>
        <v>-20.3125</v>
      </c>
      <c r="BC42" s="352">
        <f t="shared" si="107"/>
        <v>2.27848101265823</v>
      </c>
      <c r="BD42" s="366"/>
      <c r="BE42" s="369"/>
    </row>
    <row r="43" ht="14.25" customHeight="1"/>
    <row r="44" ht="14.25" customHeight="1"/>
    <row r="45" ht="14.25" customHeight="1" spans="4:4">
      <c r="D45" s="359"/>
    </row>
  </sheetData>
  <sheetProtection formatCells="0" insertHyperlinks="0" autoFilter="0"/>
  <mergeCells count="20">
    <mergeCell ref="A2:AD2"/>
    <mergeCell ref="AE2:BC2"/>
    <mergeCell ref="F3:O3"/>
    <mergeCell ref="P3:X3"/>
    <mergeCell ref="Y3:AD3"/>
    <mergeCell ref="AE3:AJ3"/>
    <mergeCell ref="AK3:AM3"/>
    <mergeCell ref="AN3:AS3"/>
    <mergeCell ref="AT3:BE3"/>
    <mergeCell ref="A5:A11"/>
    <mergeCell ref="A12:A18"/>
    <mergeCell ref="A19:A23"/>
    <mergeCell ref="A24:A28"/>
    <mergeCell ref="A29:A33"/>
    <mergeCell ref="A34:A38"/>
    <mergeCell ref="A39:A42"/>
    <mergeCell ref="C3:C4"/>
    <mergeCell ref="D3:D4"/>
    <mergeCell ref="E3:E4"/>
    <mergeCell ref="A3:B4"/>
  </mergeCells>
  <conditionalFormatting sqref="$A9:$XFD9">
    <cfRule type="cellIs" dxfId="0" priority="7" operator="lessThan">
      <formula>0</formula>
    </cfRule>
  </conditionalFormatting>
  <conditionalFormatting sqref="$A13:$XFD13">
    <cfRule type="cellIs" dxfId="0" priority="1" operator="lessThan">
      <formula>0</formula>
    </cfRule>
  </conditionalFormatting>
  <conditionalFormatting sqref="$A16:$XFD16">
    <cfRule type="cellIs" dxfId="0" priority="6" operator="lessThan">
      <formula>0</formula>
    </cfRule>
  </conditionalFormatting>
  <conditionalFormatting sqref="$A22:$XFD22">
    <cfRule type="cellIs" dxfId="0" priority="5" operator="lessThan">
      <formula>0</formula>
    </cfRule>
  </conditionalFormatting>
  <conditionalFormatting sqref="$A27:$XFD27">
    <cfRule type="cellIs" dxfId="0" priority="4" operator="lessThan">
      <formula>0</formula>
    </cfRule>
  </conditionalFormatting>
  <conditionalFormatting sqref="$A32:$XFD32">
    <cfRule type="cellIs" dxfId="0" priority="2" operator="lessThan">
      <formula>0</formula>
    </cfRule>
  </conditionalFormatting>
  <conditionalFormatting sqref="$A37:$XFD37">
    <cfRule type="cellIs" dxfId="0" priority="3" operator="lessThan">
      <formula>0</formula>
    </cfRule>
  </conditionalFormatting>
  <pageMargins left="0.357638888888889" right="0.161111111111111" top="0.267361111111111" bottom="0.463888888888889" header="0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N31"/>
  <sheetViews>
    <sheetView workbookViewId="0">
      <selection activeCell="J5" sqref="J5:N7"/>
    </sheetView>
  </sheetViews>
  <sheetFormatPr defaultColWidth="7.375" defaultRowHeight="16.5"/>
  <cols>
    <col min="1" max="1" width="7.375" style="329"/>
    <col min="2" max="2" width="12.25" style="329" customWidth="1"/>
    <col min="3" max="3" width="7.375" style="329"/>
    <col min="4" max="8" width="7.375" style="329" hidden="1" outlineLevel="1"/>
    <col min="9" max="9" width="3.125" style="329" hidden="1" customWidth="1" outlineLevel="1"/>
    <col min="10" max="10" width="9.5" style="329" customWidth="1" collapsed="1"/>
    <col min="11" max="14" width="9.5" style="329" customWidth="1"/>
    <col min="15" max="16372" width="7.375" style="329"/>
    <col min="16373" max="16384" width="7.375" style="330"/>
  </cols>
  <sheetData>
    <row r="1" ht="21.95" customHeight="1" spans="1:2">
      <c r="A1" s="331" t="s">
        <v>85</v>
      </c>
      <c r="B1" s="331"/>
    </row>
    <row r="2" ht="29.1" customHeight="1" spans="1:14">
      <c r="A2" s="332" t="s">
        <v>86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</row>
    <row r="3" spans="1:14">
      <c r="A3" s="333" t="s">
        <v>1</v>
      </c>
      <c r="B3" s="334"/>
      <c r="C3" s="334" t="s">
        <v>2</v>
      </c>
      <c r="D3" s="335" t="s">
        <v>87</v>
      </c>
      <c r="E3" s="336"/>
      <c r="F3" s="336"/>
      <c r="G3" s="336"/>
      <c r="H3" s="336"/>
      <c r="I3" s="343"/>
      <c r="J3" s="344" t="s">
        <v>88</v>
      </c>
      <c r="K3" s="334"/>
      <c r="L3" s="334"/>
      <c r="M3" s="334"/>
      <c r="N3" s="345"/>
    </row>
    <row r="4" ht="33" spans="1:14">
      <c r="A4" s="333"/>
      <c r="B4" s="334"/>
      <c r="C4" s="334"/>
      <c r="D4" s="336" t="s">
        <v>39</v>
      </c>
      <c r="E4" s="335" t="s">
        <v>41</v>
      </c>
      <c r="F4" s="335" t="s">
        <v>89</v>
      </c>
      <c r="G4" s="335" t="s">
        <v>63</v>
      </c>
      <c r="H4" s="335" t="s">
        <v>59</v>
      </c>
      <c r="I4" s="346"/>
      <c r="J4" s="334" t="s">
        <v>39</v>
      </c>
      <c r="K4" s="344" t="s">
        <v>41</v>
      </c>
      <c r="L4" s="344" t="s">
        <v>89</v>
      </c>
      <c r="M4" s="344" t="s">
        <v>63</v>
      </c>
      <c r="N4" s="347" t="s">
        <v>59</v>
      </c>
    </row>
    <row r="5" ht="18.75" customHeight="1" spans="1:14">
      <c r="A5" s="337" t="s">
        <v>12</v>
      </c>
      <c r="B5" s="338" t="s">
        <v>13</v>
      </c>
      <c r="C5" s="339" t="s">
        <v>14</v>
      </c>
      <c r="D5" s="340">
        <f>E5+F5+G5+H5</f>
        <v>310000</v>
      </c>
      <c r="E5" s="340">
        <v>80000</v>
      </c>
      <c r="F5" s="340">
        <v>20000</v>
      </c>
      <c r="G5" s="340">
        <v>210000</v>
      </c>
      <c r="H5" s="340">
        <v>0</v>
      </c>
      <c r="I5" s="348"/>
      <c r="J5" s="348">
        <f t="shared" ref="J5:J8" si="0">K5+L5+M5+N5</f>
        <v>310000</v>
      </c>
      <c r="K5" s="348">
        <v>80000</v>
      </c>
      <c r="L5" s="348">
        <v>20000</v>
      </c>
      <c r="M5" s="348">
        <v>210000</v>
      </c>
      <c r="N5" s="349">
        <v>0</v>
      </c>
    </row>
    <row r="6" ht="18.75" customHeight="1" spans="1:14">
      <c r="A6" s="337"/>
      <c r="B6" s="338" t="s">
        <v>16</v>
      </c>
      <c r="C6" s="339" t="s">
        <v>14</v>
      </c>
      <c r="D6" s="340">
        <f>E6+F6+G6+H6</f>
        <v>85293</v>
      </c>
      <c r="E6" s="340">
        <v>21983</v>
      </c>
      <c r="F6" s="340">
        <v>6308</v>
      </c>
      <c r="G6" s="340">
        <v>56616</v>
      </c>
      <c r="H6" s="340">
        <v>386</v>
      </c>
      <c r="I6" s="348"/>
      <c r="J6" s="348">
        <f t="shared" si="0"/>
        <v>24135</v>
      </c>
      <c r="K6" s="348">
        <v>5000</v>
      </c>
      <c r="L6" s="348">
        <v>1432</v>
      </c>
      <c r="M6" s="348">
        <v>17703</v>
      </c>
      <c r="N6" s="349">
        <v>0</v>
      </c>
    </row>
    <row r="7" ht="18.75" customHeight="1" spans="1:14">
      <c r="A7" s="337"/>
      <c r="B7" s="338" t="s">
        <v>17</v>
      </c>
      <c r="C7" s="339" t="s">
        <v>14</v>
      </c>
      <c r="D7" s="340">
        <f>J7-J6</f>
        <v>154463</v>
      </c>
      <c r="E7" s="340">
        <f>K7-K6</f>
        <v>21983</v>
      </c>
      <c r="F7" s="340">
        <f>L7-L6</f>
        <v>5552</v>
      </c>
      <c r="G7" s="340">
        <f>M7-M6</f>
        <v>126542</v>
      </c>
      <c r="H7" s="340">
        <f>N7-N6</f>
        <v>386</v>
      </c>
      <c r="I7" s="348"/>
      <c r="J7" s="348">
        <f t="shared" si="0"/>
        <v>178598</v>
      </c>
      <c r="K7" s="348">
        <v>26983</v>
      </c>
      <c r="L7" s="348">
        <v>6984</v>
      </c>
      <c r="M7" s="348">
        <v>144245</v>
      </c>
      <c r="N7" s="349">
        <v>386</v>
      </c>
    </row>
    <row r="8" ht="18.75" customHeight="1" spans="1:14">
      <c r="A8" s="337"/>
      <c r="B8" s="338" t="s">
        <v>18</v>
      </c>
      <c r="C8" s="339" t="s">
        <v>14</v>
      </c>
      <c r="D8" s="340">
        <f>E8+F8+G8+H8</f>
        <v>188988</v>
      </c>
      <c r="E8" s="340">
        <v>34114</v>
      </c>
      <c r="F8" s="340">
        <v>16090</v>
      </c>
      <c r="G8" s="340">
        <v>135028</v>
      </c>
      <c r="H8" s="340">
        <v>3756</v>
      </c>
      <c r="I8" s="348"/>
      <c r="J8" s="348">
        <f t="shared" si="0"/>
        <v>223024</v>
      </c>
      <c r="K8" s="348">
        <v>41754</v>
      </c>
      <c r="L8" s="348">
        <v>17080</v>
      </c>
      <c r="M8" s="348">
        <v>159963</v>
      </c>
      <c r="N8" s="349">
        <v>4227</v>
      </c>
    </row>
    <row r="9" ht="18.75" customHeight="1" spans="1:14">
      <c r="A9" s="337"/>
      <c r="B9" s="338" t="s">
        <v>19</v>
      </c>
      <c r="C9" s="339" t="s">
        <v>14</v>
      </c>
      <c r="D9" s="341">
        <f t="shared" ref="D9:H9" si="1">D7-D8</f>
        <v>-34525</v>
      </c>
      <c r="E9" s="341">
        <f t="shared" si="1"/>
        <v>-12131</v>
      </c>
      <c r="F9" s="341">
        <f t="shared" si="1"/>
        <v>-10538</v>
      </c>
      <c r="G9" s="341">
        <f t="shared" si="1"/>
        <v>-8486</v>
      </c>
      <c r="H9" s="341">
        <f t="shared" si="1"/>
        <v>-3370</v>
      </c>
      <c r="I9" s="350"/>
      <c r="J9" s="350">
        <f t="shared" ref="J9:N9" si="2">J7-J8</f>
        <v>-44426</v>
      </c>
      <c r="K9" s="350">
        <f t="shared" si="2"/>
        <v>-14771</v>
      </c>
      <c r="L9" s="350">
        <f t="shared" si="2"/>
        <v>-10096</v>
      </c>
      <c r="M9" s="350">
        <f t="shared" si="2"/>
        <v>-15718</v>
      </c>
      <c r="N9" s="351">
        <f t="shared" si="2"/>
        <v>-3841</v>
      </c>
    </row>
    <row r="10" ht="18.75" customHeight="1" spans="1:14">
      <c r="A10" s="337"/>
      <c r="B10" s="338" t="s">
        <v>20</v>
      </c>
      <c r="C10" s="339" t="s">
        <v>21</v>
      </c>
      <c r="D10" s="342">
        <f>D7/D8*100-100</f>
        <v>-18.2683556627934</v>
      </c>
      <c r="E10" s="342">
        <f t="shared" ref="E10:H10" si="3">E7/E8*100-100</f>
        <v>-35.5601805710265</v>
      </c>
      <c r="F10" s="342">
        <f t="shared" si="3"/>
        <v>-65.4940957116221</v>
      </c>
      <c r="G10" s="342">
        <f t="shared" si="3"/>
        <v>-6.28462244867731</v>
      </c>
      <c r="H10" s="342">
        <f t="shared" si="3"/>
        <v>-89.7231096911608</v>
      </c>
      <c r="I10" s="352"/>
      <c r="J10" s="352">
        <f t="shared" ref="J10:N10" si="4">J7/J8*100-100</f>
        <v>-19.9198292560442</v>
      </c>
      <c r="K10" s="352">
        <f t="shared" si="4"/>
        <v>-35.3762513771136</v>
      </c>
      <c r="L10" s="352">
        <f t="shared" si="4"/>
        <v>-59.1100702576112</v>
      </c>
      <c r="M10" s="352">
        <f t="shared" si="4"/>
        <v>-9.82602226764939</v>
      </c>
      <c r="N10" s="353">
        <f t="shared" si="4"/>
        <v>-90.8682280577242</v>
      </c>
    </row>
    <row r="11" ht="18.75" customHeight="1" spans="1:14">
      <c r="A11" s="337"/>
      <c r="B11" s="338" t="s">
        <v>22</v>
      </c>
      <c r="C11" s="339" t="s">
        <v>21</v>
      </c>
      <c r="D11" s="342">
        <f t="shared" ref="D11:G11" si="5">D7/D5*100</f>
        <v>49.8267741935484</v>
      </c>
      <c r="E11" s="342">
        <f t="shared" si="5"/>
        <v>27.47875</v>
      </c>
      <c r="F11" s="342" t="s">
        <v>25</v>
      </c>
      <c r="G11" s="342">
        <f t="shared" si="5"/>
        <v>60.2580952380952</v>
      </c>
      <c r="H11" s="342" t="s">
        <v>25</v>
      </c>
      <c r="I11" s="352"/>
      <c r="J11" s="352">
        <f t="shared" ref="J11:M11" si="6">J7/J5*100</f>
        <v>57.6122580645161</v>
      </c>
      <c r="K11" s="352">
        <f t="shared" si="6"/>
        <v>33.72875</v>
      </c>
      <c r="L11" s="352" t="s">
        <v>25</v>
      </c>
      <c r="M11" s="352">
        <f t="shared" si="6"/>
        <v>68.6880952380952</v>
      </c>
      <c r="N11" s="353" t="s">
        <v>25</v>
      </c>
    </row>
    <row r="13" spans="1:14">
      <c r="A13" s="333" t="s">
        <v>1</v>
      </c>
      <c r="B13" s="334"/>
      <c r="C13" s="334" t="s">
        <v>2</v>
      </c>
      <c r="D13" s="335" t="s">
        <v>87</v>
      </c>
      <c r="E13" s="336"/>
      <c r="F13" s="336"/>
      <c r="G13" s="336"/>
      <c r="H13" s="336"/>
      <c r="I13" s="343"/>
      <c r="J13" s="344" t="s">
        <v>90</v>
      </c>
      <c r="K13" s="334"/>
      <c r="L13" s="334"/>
      <c r="M13" s="334"/>
      <c r="N13" s="345"/>
    </row>
    <row r="14" ht="33" spans="1:14">
      <c r="A14" s="333"/>
      <c r="B14" s="334"/>
      <c r="C14" s="334"/>
      <c r="D14" s="336" t="s">
        <v>39</v>
      </c>
      <c r="E14" s="335" t="s">
        <v>41</v>
      </c>
      <c r="F14" s="335" t="s">
        <v>89</v>
      </c>
      <c r="G14" s="335" t="s">
        <v>63</v>
      </c>
      <c r="H14" s="335" t="s">
        <v>59</v>
      </c>
      <c r="I14" s="346"/>
      <c r="J14" s="334" t="s">
        <v>39</v>
      </c>
      <c r="K14" s="344" t="s">
        <v>41</v>
      </c>
      <c r="L14" s="344" t="s">
        <v>89</v>
      </c>
      <c r="M14" s="344" t="s">
        <v>63</v>
      </c>
      <c r="N14" s="347" t="s">
        <v>59</v>
      </c>
    </row>
    <row r="15" ht="14.25" spans="1:14">
      <c r="A15" s="337" t="s">
        <v>12</v>
      </c>
      <c r="B15" s="338" t="s">
        <v>13</v>
      </c>
      <c r="C15" s="339" t="s">
        <v>14</v>
      </c>
      <c r="D15" s="340">
        <f t="shared" ref="D15:D18" si="7">E15+F15+G15+H15</f>
        <v>310000</v>
      </c>
      <c r="E15" s="340">
        <v>80000</v>
      </c>
      <c r="F15" s="340">
        <v>20000</v>
      </c>
      <c r="G15" s="340">
        <v>210000</v>
      </c>
      <c r="H15" s="340">
        <v>0</v>
      </c>
      <c r="I15" s="348"/>
      <c r="J15" s="348">
        <f t="shared" ref="J15:J18" si="8">K15+L15+M15+N15</f>
        <v>310000</v>
      </c>
      <c r="K15" s="348">
        <v>80000</v>
      </c>
      <c r="L15" s="348">
        <v>20000</v>
      </c>
      <c r="M15" s="348">
        <v>210000</v>
      </c>
      <c r="N15" s="349">
        <v>0</v>
      </c>
    </row>
    <row r="16" ht="14.25" spans="1:14">
      <c r="A16" s="337"/>
      <c r="B16" s="338" t="s">
        <v>16</v>
      </c>
      <c r="C16" s="339" t="s">
        <v>14</v>
      </c>
      <c r="D16" s="340">
        <f t="shared" si="7"/>
        <v>85293</v>
      </c>
      <c r="E16" s="340">
        <v>21983</v>
      </c>
      <c r="F16" s="340">
        <v>6308</v>
      </c>
      <c r="G16" s="340">
        <v>56616</v>
      </c>
      <c r="H16" s="340">
        <v>386</v>
      </c>
      <c r="I16" s="348"/>
      <c r="J16" s="348">
        <f t="shared" si="8"/>
        <v>17000</v>
      </c>
      <c r="K16" s="348">
        <v>5000</v>
      </c>
      <c r="L16" s="348">
        <v>2000</v>
      </c>
      <c r="M16" s="348">
        <v>10000</v>
      </c>
      <c r="N16" s="349">
        <v>0</v>
      </c>
    </row>
    <row r="17" ht="14.25" spans="1:14">
      <c r="A17" s="337"/>
      <c r="B17" s="338" t="s">
        <v>17</v>
      </c>
      <c r="C17" s="339" t="s">
        <v>14</v>
      </c>
      <c r="D17" s="340">
        <f ca="1" t="shared" ref="D17:H17" si="9">J17-J16</f>
        <v>154463</v>
      </c>
      <c r="E17" s="340">
        <f ca="1" t="shared" si="9"/>
        <v>21983</v>
      </c>
      <c r="F17" s="340">
        <f t="shared" si="9"/>
        <v>6984</v>
      </c>
      <c r="G17" s="340">
        <f ca="1" t="shared" si="9"/>
        <v>126542</v>
      </c>
      <c r="H17" s="340">
        <f t="shared" si="9"/>
        <v>386</v>
      </c>
      <c r="I17" s="348"/>
      <c r="J17" s="348">
        <f ca="1" t="shared" si="8"/>
        <v>195598</v>
      </c>
      <c r="K17" s="348">
        <f ca="1">E17+K16</f>
        <v>31983</v>
      </c>
      <c r="L17" s="348">
        <v>8984</v>
      </c>
      <c r="M17" s="348">
        <f ca="1">G17+M16</f>
        <v>154245</v>
      </c>
      <c r="N17" s="349">
        <v>386</v>
      </c>
    </row>
    <row r="18" ht="14.25" spans="1:14">
      <c r="A18" s="337"/>
      <c r="B18" s="338" t="s">
        <v>18</v>
      </c>
      <c r="C18" s="339" t="s">
        <v>14</v>
      </c>
      <c r="D18" s="340">
        <f t="shared" si="7"/>
        <v>188988</v>
      </c>
      <c r="E18" s="340">
        <v>34114</v>
      </c>
      <c r="F18" s="340">
        <v>16090</v>
      </c>
      <c r="G18" s="340">
        <v>135028</v>
      </c>
      <c r="H18" s="340">
        <v>3756</v>
      </c>
      <c r="I18" s="348"/>
      <c r="J18" s="348">
        <f t="shared" si="8"/>
        <v>273474</v>
      </c>
      <c r="K18" s="348">
        <v>57694</v>
      </c>
      <c r="L18" s="348">
        <v>29201</v>
      </c>
      <c r="M18" s="348">
        <v>181493</v>
      </c>
      <c r="N18" s="349">
        <v>5086</v>
      </c>
    </row>
    <row r="19" ht="14.25" spans="1:14">
      <c r="A19" s="337"/>
      <c r="B19" s="338" t="s">
        <v>19</v>
      </c>
      <c r="C19" s="339" t="s">
        <v>14</v>
      </c>
      <c r="D19" s="341">
        <f ca="1" t="shared" ref="D19:H19" si="10">D17-D18</f>
        <v>-34525</v>
      </c>
      <c r="E19" s="341">
        <f ca="1" t="shared" si="10"/>
        <v>-12131</v>
      </c>
      <c r="F19" s="341">
        <f t="shared" si="10"/>
        <v>-9106</v>
      </c>
      <c r="G19" s="341">
        <f ca="1" t="shared" si="10"/>
        <v>-8486</v>
      </c>
      <c r="H19" s="341">
        <f t="shared" si="10"/>
        <v>-3370</v>
      </c>
      <c r="I19" s="350"/>
      <c r="J19" s="350">
        <f ca="1" t="shared" ref="J19:N19" si="11">J17-J18</f>
        <v>-77876</v>
      </c>
      <c r="K19" s="350">
        <f ca="1" t="shared" si="11"/>
        <v>-25711</v>
      </c>
      <c r="L19" s="350">
        <f t="shared" si="11"/>
        <v>-20217</v>
      </c>
      <c r="M19" s="350">
        <f ca="1" t="shared" si="11"/>
        <v>-27248</v>
      </c>
      <c r="N19" s="351">
        <f t="shared" si="11"/>
        <v>-4700</v>
      </c>
    </row>
    <row r="20" ht="14.25" spans="1:14">
      <c r="A20" s="337"/>
      <c r="B20" s="338" t="s">
        <v>20</v>
      </c>
      <c r="C20" s="339" t="s">
        <v>21</v>
      </c>
      <c r="D20" s="342">
        <f ca="1" t="shared" ref="D20:H20" si="12">D17/D18*100-100</f>
        <v>-18.2683556627934</v>
      </c>
      <c r="E20" s="342">
        <f ca="1" t="shared" si="12"/>
        <v>-35.5601805710265</v>
      </c>
      <c r="F20" s="342">
        <f t="shared" si="12"/>
        <v>-56.5941578620261</v>
      </c>
      <c r="G20" s="342">
        <f ca="1" t="shared" si="12"/>
        <v>-6.28462244867731</v>
      </c>
      <c r="H20" s="342">
        <f t="shared" si="12"/>
        <v>-89.7231096911608</v>
      </c>
      <c r="I20" s="352"/>
      <c r="J20" s="352">
        <f ca="1" t="shared" ref="J20:N20" si="13">J17/J18*100-100</f>
        <v>-28.4765644997331</v>
      </c>
      <c r="K20" s="352">
        <f ca="1" t="shared" si="13"/>
        <v>-44.5644261101674</v>
      </c>
      <c r="L20" s="352">
        <f t="shared" si="13"/>
        <v>-69.2339303448512</v>
      </c>
      <c r="M20" s="352">
        <f ca="1" t="shared" si="13"/>
        <v>-15.0132511997708</v>
      </c>
      <c r="N20" s="353">
        <f t="shared" si="13"/>
        <v>-92.410538733779</v>
      </c>
    </row>
    <row r="21" ht="14.25" spans="1:14">
      <c r="A21" s="337"/>
      <c r="B21" s="338" t="s">
        <v>22</v>
      </c>
      <c r="C21" s="339" t="s">
        <v>21</v>
      </c>
      <c r="D21" s="342">
        <f ca="1" t="shared" ref="D21:G21" si="14">D17/D15*100</f>
        <v>49.8267741935484</v>
      </c>
      <c r="E21" s="342">
        <f ca="1" t="shared" si="14"/>
        <v>27.47875</v>
      </c>
      <c r="F21" s="342" t="s">
        <v>25</v>
      </c>
      <c r="G21" s="342">
        <f ca="1" t="shared" si="14"/>
        <v>60.2580952380952</v>
      </c>
      <c r="H21" s="342" t="s">
        <v>25</v>
      </c>
      <c r="I21" s="352"/>
      <c r="J21" s="352">
        <f ca="1" t="shared" ref="J21:M21" si="15">J17/J15*100</f>
        <v>63.0961290322581</v>
      </c>
      <c r="K21" s="352">
        <f ca="1" t="shared" si="15"/>
        <v>39.97875</v>
      </c>
      <c r="L21" s="352" t="s">
        <v>25</v>
      </c>
      <c r="M21" s="352">
        <f ca="1" t="shared" si="15"/>
        <v>73.45</v>
      </c>
      <c r="N21" s="353" t="s">
        <v>25</v>
      </c>
    </row>
    <row r="23" spans="1:14">
      <c r="A23" s="333" t="s">
        <v>1</v>
      </c>
      <c r="B23" s="334"/>
      <c r="C23" s="334" t="s">
        <v>2</v>
      </c>
      <c r="D23" s="335" t="s">
        <v>87</v>
      </c>
      <c r="E23" s="336"/>
      <c r="F23" s="336"/>
      <c r="G23" s="336"/>
      <c r="H23" s="336"/>
      <c r="I23" s="343"/>
      <c r="J23" s="344" t="s">
        <v>91</v>
      </c>
      <c r="K23" s="334"/>
      <c r="L23" s="334"/>
      <c r="M23" s="334"/>
      <c r="N23" s="345"/>
    </row>
    <row r="24" ht="33" spans="1:14">
      <c r="A24" s="333"/>
      <c r="B24" s="334"/>
      <c r="C24" s="334"/>
      <c r="D24" s="336" t="s">
        <v>39</v>
      </c>
      <c r="E24" s="335" t="s">
        <v>41</v>
      </c>
      <c r="F24" s="335" t="s">
        <v>89</v>
      </c>
      <c r="G24" s="335" t="s">
        <v>63</v>
      </c>
      <c r="H24" s="335" t="s">
        <v>59</v>
      </c>
      <c r="I24" s="346"/>
      <c r="J24" s="334" t="s">
        <v>39</v>
      </c>
      <c r="K24" s="344" t="s">
        <v>41</v>
      </c>
      <c r="L24" s="344" t="s">
        <v>89</v>
      </c>
      <c r="M24" s="344" t="s">
        <v>63</v>
      </c>
      <c r="N24" s="347" t="s">
        <v>59</v>
      </c>
    </row>
    <row r="25" ht="14.25" spans="1:14">
      <c r="A25" s="337" t="s">
        <v>12</v>
      </c>
      <c r="B25" s="338" t="s">
        <v>13</v>
      </c>
      <c r="C25" s="339" t="s">
        <v>14</v>
      </c>
      <c r="D25" s="340">
        <f t="shared" ref="D25:D28" si="16">E25+F25+G25+H25</f>
        <v>310000</v>
      </c>
      <c r="E25" s="340">
        <v>80000</v>
      </c>
      <c r="F25" s="340">
        <v>20000</v>
      </c>
      <c r="G25" s="340">
        <v>210000</v>
      </c>
      <c r="H25" s="340">
        <v>0</v>
      </c>
      <c r="I25" s="348"/>
      <c r="J25" s="348">
        <v>310000</v>
      </c>
      <c r="K25" s="348">
        <v>80000</v>
      </c>
      <c r="L25" s="348">
        <v>20000</v>
      </c>
      <c r="M25" s="348">
        <v>210000</v>
      </c>
      <c r="N25" s="349">
        <v>0</v>
      </c>
    </row>
    <row r="26" ht="14.25" spans="1:14">
      <c r="A26" s="337"/>
      <c r="B26" s="338" t="s">
        <v>16</v>
      </c>
      <c r="C26" s="339" t="s">
        <v>14</v>
      </c>
      <c r="D26" s="340">
        <f t="shared" si="16"/>
        <v>85293</v>
      </c>
      <c r="E26" s="340">
        <v>21983</v>
      </c>
      <c r="F26" s="340">
        <v>6308</v>
      </c>
      <c r="G26" s="340">
        <v>56616</v>
      </c>
      <c r="H26" s="340">
        <v>386</v>
      </c>
      <c r="I26" s="348"/>
      <c r="J26" s="348">
        <v>17000</v>
      </c>
      <c r="K26" s="348">
        <v>5000</v>
      </c>
      <c r="L26" s="348">
        <v>2000</v>
      </c>
      <c r="M26" s="348">
        <v>10000</v>
      </c>
      <c r="N26" s="349">
        <v>0</v>
      </c>
    </row>
    <row r="27" ht="14.25" spans="1:14">
      <c r="A27" s="337"/>
      <c r="B27" s="338" t="s">
        <v>17</v>
      </c>
      <c r="C27" s="339" t="s">
        <v>14</v>
      </c>
      <c r="D27" s="340">
        <f t="shared" ref="D27:H27" si="17">J27-J26</f>
        <v>195598</v>
      </c>
      <c r="E27" s="340">
        <f t="shared" si="17"/>
        <v>31983</v>
      </c>
      <c r="F27" s="340">
        <f t="shared" si="17"/>
        <v>8984</v>
      </c>
      <c r="G27" s="340">
        <f t="shared" si="17"/>
        <v>154245</v>
      </c>
      <c r="H27" s="340">
        <f t="shared" si="17"/>
        <v>386</v>
      </c>
      <c r="I27" s="348"/>
      <c r="J27" s="348">
        <v>212598</v>
      </c>
      <c r="K27" s="348">
        <v>36983</v>
      </c>
      <c r="L27" s="348">
        <v>10984</v>
      </c>
      <c r="M27" s="348">
        <v>164245</v>
      </c>
      <c r="N27" s="349">
        <v>386</v>
      </c>
    </row>
    <row r="28" ht="14.25" spans="1:14">
      <c r="A28" s="337"/>
      <c r="B28" s="338" t="s">
        <v>18</v>
      </c>
      <c r="C28" s="339" t="s">
        <v>14</v>
      </c>
      <c r="D28" s="340">
        <f t="shared" si="16"/>
        <v>188988</v>
      </c>
      <c r="E28" s="340">
        <v>34114</v>
      </c>
      <c r="F28" s="340">
        <v>16090</v>
      </c>
      <c r="G28" s="340">
        <v>135028</v>
      </c>
      <c r="H28" s="340">
        <v>3756</v>
      </c>
      <c r="I28" s="348"/>
      <c r="J28" s="348">
        <v>330735</v>
      </c>
      <c r="K28" s="348">
        <v>60758</v>
      </c>
      <c r="L28" s="348">
        <v>33876</v>
      </c>
      <c r="M28" s="348">
        <v>230597</v>
      </c>
      <c r="N28" s="349">
        <v>5504</v>
      </c>
    </row>
    <row r="29" ht="14.25" spans="1:14">
      <c r="A29" s="337"/>
      <c r="B29" s="338" t="s">
        <v>19</v>
      </c>
      <c r="C29" s="339" t="s">
        <v>14</v>
      </c>
      <c r="D29" s="341">
        <f t="shared" ref="D29:H29" si="18">D27-D28</f>
        <v>6610</v>
      </c>
      <c r="E29" s="341">
        <f t="shared" si="18"/>
        <v>-2131</v>
      </c>
      <c r="F29" s="341">
        <f t="shared" si="18"/>
        <v>-7106</v>
      </c>
      <c r="G29" s="341">
        <f t="shared" si="18"/>
        <v>19217</v>
      </c>
      <c r="H29" s="341">
        <f t="shared" si="18"/>
        <v>-3370</v>
      </c>
      <c r="I29" s="350"/>
      <c r="J29" s="350">
        <v>-118137</v>
      </c>
      <c r="K29" s="350">
        <v>-23775</v>
      </c>
      <c r="L29" s="350">
        <v>-22892</v>
      </c>
      <c r="M29" s="350">
        <v>-66352</v>
      </c>
      <c r="N29" s="351">
        <v>-5118</v>
      </c>
    </row>
    <row r="30" ht="14.25" spans="1:14">
      <c r="A30" s="337"/>
      <c r="B30" s="338" t="s">
        <v>20</v>
      </c>
      <c r="C30" s="339" t="s">
        <v>21</v>
      </c>
      <c r="D30" s="342">
        <f t="shared" ref="D30:H30" si="19">D27/D28*100-100</f>
        <v>3.49757656570789</v>
      </c>
      <c r="E30" s="342">
        <f t="shared" si="19"/>
        <v>-6.24670223368705</v>
      </c>
      <c r="F30" s="342">
        <f t="shared" si="19"/>
        <v>-44.1640770665009</v>
      </c>
      <c r="G30" s="342">
        <f t="shared" si="19"/>
        <v>14.2318630210031</v>
      </c>
      <c r="H30" s="342">
        <f t="shared" si="19"/>
        <v>-89.7231096911608</v>
      </c>
      <c r="I30" s="352"/>
      <c r="J30" s="352">
        <v>-35.7195337657037</v>
      </c>
      <c r="K30" s="352">
        <v>-39.1306494617993</v>
      </c>
      <c r="L30" s="352">
        <v>-67.5758649191168</v>
      </c>
      <c r="M30" s="352">
        <v>-28.7740083348873</v>
      </c>
      <c r="N30" s="353">
        <v>-92.9869186046512</v>
      </c>
    </row>
    <row r="31" ht="14.25" spans="1:14">
      <c r="A31" s="337"/>
      <c r="B31" s="338" t="s">
        <v>22</v>
      </c>
      <c r="C31" s="339" t="s">
        <v>21</v>
      </c>
      <c r="D31" s="342">
        <f t="shared" ref="D31:G31" si="20">D27/D25*100</f>
        <v>63.0961290322581</v>
      </c>
      <c r="E31" s="342">
        <f t="shared" si="20"/>
        <v>39.97875</v>
      </c>
      <c r="F31" s="342" t="s">
        <v>25</v>
      </c>
      <c r="G31" s="342">
        <f t="shared" si="20"/>
        <v>73.45</v>
      </c>
      <c r="H31" s="342" t="s">
        <v>25</v>
      </c>
      <c r="I31" s="352"/>
      <c r="J31" s="352">
        <v>68.58</v>
      </c>
      <c r="K31" s="352">
        <v>46.22875</v>
      </c>
      <c r="L31" s="352" t="s">
        <v>25</v>
      </c>
      <c r="M31" s="352">
        <v>78.2119047619048</v>
      </c>
      <c r="N31" s="353" t="s">
        <v>25</v>
      </c>
    </row>
  </sheetData>
  <sheetProtection formatCells="0" insertHyperlinks="0" autoFilter="0"/>
  <mergeCells count="17">
    <mergeCell ref="A1:B1"/>
    <mergeCell ref="A2:N2"/>
    <mergeCell ref="D3:H3"/>
    <mergeCell ref="J3:N3"/>
    <mergeCell ref="D13:H13"/>
    <mergeCell ref="J13:N13"/>
    <mergeCell ref="D23:H23"/>
    <mergeCell ref="J23:N23"/>
    <mergeCell ref="A5:A11"/>
    <mergeCell ref="A15:A21"/>
    <mergeCell ref="A25:A31"/>
    <mergeCell ref="C3:C4"/>
    <mergeCell ref="C13:C14"/>
    <mergeCell ref="C23:C24"/>
    <mergeCell ref="A13:B14"/>
    <mergeCell ref="A23:B24"/>
    <mergeCell ref="A3:B4"/>
  </mergeCells>
  <pageMargins left="0.590277777777778" right="0.590277777777778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outlinePr summaryBelow="0" summaryRight="0"/>
  </sheetPr>
  <dimension ref="A1:Z25"/>
  <sheetViews>
    <sheetView workbookViewId="0">
      <pane ySplit="10" topLeftCell="A11" activePane="bottomLeft" state="frozen"/>
      <selection/>
      <selection pane="bottomLeft" activeCell="N8" sqref="N8"/>
    </sheetView>
  </sheetViews>
  <sheetFormatPr defaultColWidth="11.375" defaultRowHeight="14.25"/>
  <cols>
    <col min="1" max="1" width="18.75" style="287" customWidth="1" collapsed="1"/>
    <col min="2" max="2" width="9" style="287" hidden="1" customWidth="1" outlineLevel="1"/>
    <col min="3" max="3" width="9" style="287" hidden="1" customWidth="1" outlineLevel="2"/>
    <col min="4" max="4" width="8.125" style="287" hidden="1" customWidth="1" outlineLevel="1" collapsed="1"/>
    <col min="5" max="7" width="13" style="287" hidden="1" customWidth="1" outlineLevel="1"/>
    <col min="8" max="10" width="12.25" style="287" hidden="1" customWidth="1" outlineLevel="1"/>
    <col min="11" max="11" width="8" style="287" hidden="1" customWidth="1" outlineLevel="1"/>
    <col min="12" max="12" width="8.125" style="287" hidden="1" customWidth="1" outlineLevel="1"/>
    <col min="13" max="13" width="7.375" style="287" customWidth="1"/>
    <col min="14" max="14" width="9" style="287" collapsed="1"/>
    <col min="15" max="15" width="9" style="287" hidden="1" customWidth="1" outlineLevel="1"/>
    <col min="16" max="16" width="8.125" style="287" customWidth="1"/>
    <col min="17" max="17" width="11.25" style="287" customWidth="1"/>
    <col min="18" max="18" width="8.125" style="287" hidden="1" customWidth="1" collapsed="1"/>
    <col min="19" max="19" width="8.125" style="287" hidden="1" customWidth="1" outlineLevel="1"/>
    <col min="20" max="20" width="8.125" style="287" hidden="1" customWidth="1"/>
    <col min="21" max="21" width="10" style="287" customWidth="1"/>
    <col min="22" max="22" width="11.125" style="287" customWidth="1"/>
    <col min="23" max="24" width="9" style="287" hidden="1" customWidth="1"/>
    <col min="25" max="25" width="8.125" style="287" hidden="1" customWidth="1"/>
    <col min="26" max="26" width="9" style="287" hidden="1" customWidth="1"/>
    <col min="27" max="16383" width="11.375" style="287"/>
  </cols>
  <sheetData>
    <row r="1" ht="23.1" customHeight="1" spans="1:1">
      <c r="A1" s="288"/>
    </row>
    <row r="2" ht="30" customHeight="1" spans="1:22">
      <c r="A2" s="289" t="s">
        <v>92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313"/>
      <c r="R2" s="313"/>
      <c r="S2" s="289"/>
      <c r="T2" s="289"/>
      <c r="U2" s="289"/>
      <c r="V2" s="289"/>
    </row>
    <row r="3" ht="39.95" hidden="1" customHeight="1" spans="1:22">
      <c r="A3" s="290" t="s">
        <v>93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ht="27.95" customHeight="1" spans="1:26">
      <c r="A4" s="291"/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314" t="s">
        <v>94</v>
      </c>
      <c r="V4" s="314"/>
      <c r="W4" s="291"/>
      <c r="X4" s="291"/>
      <c r="Y4" s="291"/>
      <c r="Z4" s="291"/>
    </row>
    <row r="5" ht="39" customHeight="1" spans="1:26">
      <c r="A5" s="292" t="s">
        <v>95</v>
      </c>
      <c r="B5" s="292" t="s">
        <v>96</v>
      </c>
      <c r="C5" s="292"/>
      <c r="D5" s="292"/>
      <c r="E5" s="293" t="s">
        <v>97</v>
      </c>
      <c r="F5" s="294"/>
      <c r="G5" s="294"/>
      <c r="H5" s="294" t="s">
        <v>98</v>
      </c>
      <c r="I5" s="294"/>
      <c r="J5" s="308"/>
      <c r="K5" s="309" t="s">
        <v>99</v>
      </c>
      <c r="L5" s="310"/>
      <c r="M5" s="310"/>
      <c r="N5" s="310"/>
      <c r="O5" s="310"/>
      <c r="P5" s="310"/>
      <c r="Q5" s="315"/>
      <c r="R5" s="293" t="s">
        <v>97</v>
      </c>
      <c r="S5" s="294"/>
      <c r="T5" s="294"/>
      <c r="U5" s="294" t="s">
        <v>100</v>
      </c>
      <c r="V5" s="294"/>
      <c r="W5" s="316" t="s">
        <v>99</v>
      </c>
      <c r="X5" s="316"/>
      <c r="Y5" s="316"/>
      <c r="Z5" s="316"/>
    </row>
    <row r="6" ht="24.95" customHeight="1" spans="1:26">
      <c r="A6" s="292"/>
      <c r="B6" s="292" t="s">
        <v>101</v>
      </c>
      <c r="C6" s="292" t="s">
        <v>102</v>
      </c>
      <c r="D6" s="292" t="s">
        <v>103</v>
      </c>
      <c r="E6" s="292" t="s">
        <v>101</v>
      </c>
      <c r="F6" s="292" t="s">
        <v>102</v>
      </c>
      <c r="G6" s="294" t="s">
        <v>103</v>
      </c>
      <c r="H6" s="292" t="s">
        <v>101</v>
      </c>
      <c r="I6" s="292" t="s">
        <v>102</v>
      </c>
      <c r="J6" s="292" t="s">
        <v>104</v>
      </c>
      <c r="K6" s="292" t="s">
        <v>105</v>
      </c>
      <c r="L6" s="292" t="s">
        <v>106</v>
      </c>
      <c r="M6" s="292" t="s">
        <v>107</v>
      </c>
      <c r="N6" s="292" t="s">
        <v>108</v>
      </c>
      <c r="O6" s="292" t="s">
        <v>102</v>
      </c>
      <c r="P6" s="292" t="s">
        <v>103</v>
      </c>
      <c r="Q6" s="292" t="s">
        <v>109</v>
      </c>
      <c r="R6" s="292" t="s">
        <v>108</v>
      </c>
      <c r="S6" s="292" t="s">
        <v>102</v>
      </c>
      <c r="T6" s="294" t="s">
        <v>103</v>
      </c>
      <c r="U6" s="292" t="s">
        <v>108</v>
      </c>
      <c r="V6" s="292" t="s">
        <v>102</v>
      </c>
      <c r="W6" s="316" t="s">
        <v>110</v>
      </c>
      <c r="X6" s="316" t="s">
        <v>102</v>
      </c>
      <c r="Y6" s="316" t="s">
        <v>103</v>
      </c>
      <c r="Z6" s="316" t="s">
        <v>109</v>
      </c>
    </row>
    <row r="7" ht="36" hidden="1" customHeight="1" spans="1:26">
      <c r="A7" s="295" t="s">
        <v>111</v>
      </c>
      <c r="B7" s="296">
        <f>SUM(B10:B25)-B12</f>
        <v>1624600</v>
      </c>
      <c r="C7" s="296">
        <f>SUM(C10:C25)-C12</f>
        <v>1364889</v>
      </c>
      <c r="D7" s="297">
        <f t="shared" ref="D7:D25" si="0">B7/C7-1</f>
        <v>0.190279942178448</v>
      </c>
      <c r="E7" s="296">
        <f>SUM(E10:E25)</f>
        <v>985691.473644796</v>
      </c>
      <c r="F7" s="296">
        <f>SUM(F10:F25)</f>
        <v>833823.696056998</v>
      </c>
      <c r="G7" s="297">
        <f t="shared" ref="G7:G9" si="1">E7/F7-1</f>
        <v>0.182134158942656</v>
      </c>
      <c r="H7" s="298">
        <f>B7/E7</f>
        <v>1.64818307090829</v>
      </c>
      <c r="I7" s="298">
        <f>C7/F7</f>
        <v>1.63690358819774</v>
      </c>
      <c r="J7" s="298"/>
      <c r="K7" s="298"/>
      <c r="L7" s="296"/>
      <c r="M7" s="296"/>
      <c r="N7" s="296">
        <f>SUM(N10:N25)-N12</f>
        <v>385663</v>
      </c>
      <c r="O7" s="296">
        <f>SUM(O10:O25)-O12</f>
        <v>416685</v>
      </c>
      <c r="P7" s="297">
        <f t="shared" ref="P7:P25" si="2">N7/O7-1</f>
        <v>-0.0744495242209343</v>
      </c>
      <c r="Q7" s="296"/>
      <c r="R7" s="296" t="s">
        <v>25</v>
      </c>
      <c r="S7" s="296" t="s">
        <v>25</v>
      </c>
      <c r="T7" s="296" t="s">
        <v>25</v>
      </c>
      <c r="U7" s="296" t="s">
        <v>25</v>
      </c>
      <c r="V7" s="296" t="s">
        <v>25</v>
      </c>
      <c r="W7" s="317">
        <f>SUM(W10:W25)-W12</f>
        <v>616047</v>
      </c>
      <c r="X7" s="317">
        <f>SUM(X10:X25)-X12</f>
        <v>615980</v>
      </c>
      <c r="Y7" s="325">
        <f t="shared" ref="Y7:Y25" si="3">W7/X7-1</f>
        <v>0.000108769765252203</v>
      </c>
      <c r="Z7" s="326"/>
    </row>
    <row r="8" ht="26.1" customHeight="1" spans="1:26">
      <c r="A8" s="295" t="s">
        <v>112</v>
      </c>
      <c r="B8" s="296">
        <f>SUM(B12:B25)-B16-B21-10000-500</f>
        <v>926100</v>
      </c>
      <c r="C8" s="296">
        <f t="shared" ref="C8:F8" si="4">SUM(C12:C25)-C16-C21</f>
        <v>784881</v>
      </c>
      <c r="D8" s="297">
        <f t="shared" si="0"/>
        <v>0.179924090403513</v>
      </c>
      <c r="E8" s="296">
        <f t="shared" si="4"/>
        <v>745915.403923072</v>
      </c>
      <c r="F8" s="296">
        <f t="shared" si="4"/>
        <v>640046.046986999</v>
      </c>
      <c r="G8" s="299">
        <f t="shared" si="1"/>
        <v>0.165408969299085</v>
      </c>
      <c r="H8" s="298"/>
      <c r="I8" s="298"/>
      <c r="J8" s="298"/>
      <c r="K8" s="298"/>
      <c r="L8" s="296">
        <f>SUM(L12:L25)-L16-L21</f>
        <v>197229</v>
      </c>
      <c r="M8" s="296">
        <f>SUM(M12:M25)-M16-M21</f>
        <v>56425</v>
      </c>
      <c r="N8" s="296">
        <f>SUM(N12:N25)-N16-N21</f>
        <v>253654</v>
      </c>
      <c r="O8" s="296">
        <f>SUM(O12:O25)-O16-O21</f>
        <v>222595</v>
      </c>
      <c r="P8" s="297">
        <f t="shared" si="2"/>
        <v>0.139531436016083</v>
      </c>
      <c r="Q8" s="318">
        <f t="shared" ref="Q8:Q25" si="5">N8/B8</f>
        <v>0.273894827772379</v>
      </c>
      <c r="R8" s="296">
        <f t="shared" ref="R8:X8" si="6">SUM(R12:R25)</f>
        <v>256620</v>
      </c>
      <c r="S8" s="296">
        <f t="shared" si="6"/>
        <v>252630</v>
      </c>
      <c r="T8" s="297">
        <f t="shared" ref="T8:T25" si="7">R8/S8-1</f>
        <v>0.0157938487115545</v>
      </c>
      <c r="U8" s="298">
        <f t="shared" ref="U8:U15" si="8">N8/R8</f>
        <v>0.988442054399501</v>
      </c>
      <c r="V8" s="298">
        <f t="shared" ref="V8:V25" si="9">O8/S8</f>
        <v>0.881110715275304</v>
      </c>
      <c r="W8" s="317">
        <f t="shared" si="6"/>
        <v>502284</v>
      </c>
      <c r="X8" s="317">
        <f t="shared" si="6"/>
        <v>437133</v>
      </c>
      <c r="Y8" s="325">
        <f t="shared" si="3"/>
        <v>0.149041596035989</v>
      </c>
      <c r="Z8" s="327">
        <f t="shared" ref="Z8:Z25" si="10">W8/B8</f>
        <v>0.54236475542598</v>
      </c>
    </row>
    <row r="9" ht="27" customHeight="1" spans="1:26">
      <c r="A9" s="295" t="s">
        <v>113</v>
      </c>
      <c r="B9" s="296">
        <f>SUM(B12:B15)+B17-5000</f>
        <v>570000</v>
      </c>
      <c r="C9" s="296">
        <f>SUM(C12:C15)+C17</f>
        <v>482781</v>
      </c>
      <c r="D9" s="297">
        <f t="shared" si="0"/>
        <v>0.180659553710689</v>
      </c>
      <c r="E9" s="296">
        <f>SUM(E12:E15)</f>
        <v>320996.534201348</v>
      </c>
      <c r="F9" s="296">
        <f>SUM(F12:F15)</f>
        <v>292120.36</v>
      </c>
      <c r="G9" s="299">
        <f t="shared" si="1"/>
        <v>0.0988502622732221</v>
      </c>
      <c r="H9" s="298"/>
      <c r="I9" s="298"/>
      <c r="J9" s="298"/>
      <c r="K9" s="298"/>
      <c r="L9" s="296">
        <f>SUM(L12:L15)</f>
        <v>90414</v>
      </c>
      <c r="M9" s="296">
        <f>SUM(M12:M15)</f>
        <v>33516</v>
      </c>
      <c r="N9" s="296">
        <f>SUM(N12:N15)</f>
        <v>123930</v>
      </c>
      <c r="O9" s="296">
        <f>SUM(O12:O15)</f>
        <v>97758</v>
      </c>
      <c r="P9" s="297">
        <f t="shared" si="2"/>
        <v>0.267722334744982</v>
      </c>
      <c r="Q9" s="318">
        <f t="shared" si="5"/>
        <v>0.217421052631579</v>
      </c>
      <c r="R9" s="296">
        <f>SUM(R12:R15)</f>
        <v>104855</v>
      </c>
      <c r="S9" s="296">
        <f>SUM(S12:S15)</f>
        <v>81459</v>
      </c>
      <c r="T9" s="297">
        <f t="shared" si="7"/>
        <v>0.287211971666728</v>
      </c>
      <c r="U9" s="298">
        <f t="shared" si="8"/>
        <v>1.18191788660531</v>
      </c>
      <c r="V9" s="298">
        <f t="shared" si="9"/>
        <v>1.20008838802342</v>
      </c>
      <c r="W9" s="317">
        <f>SUM(W12:W17)</f>
        <v>265545</v>
      </c>
      <c r="X9" s="317">
        <f>SUM(X12:X17)</f>
        <v>230657</v>
      </c>
      <c r="Y9" s="325">
        <f t="shared" si="3"/>
        <v>0.151254893629935</v>
      </c>
      <c r="Z9" s="327">
        <f t="shared" si="10"/>
        <v>0.465868421052632</v>
      </c>
    </row>
    <row r="10" ht="26.1" hidden="1" customHeight="1" spans="1:26">
      <c r="A10" s="300" t="s">
        <v>114</v>
      </c>
      <c r="B10" s="301">
        <v>520000</v>
      </c>
      <c r="C10" s="301">
        <v>493448</v>
      </c>
      <c r="D10" s="299">
        <f t="shared" si="0"/>
        <v>0.0538091146382191</v>
      </c>
      <c r="E10" s="302"/>
      <c r="F10" s="303"/>
      <c r="G10" s="304"/>
      <c r="H10" s="305"/>
      <c r="I10" s="305"/>
      <c r="J10" s="305"/>
      <c r="K10" s="305"/>
      <c r="L10" s="301">
        <v>70372</v>
      </c>
      <c r="M10" s="301">
        <v>22626</v>
      </c>
      <c r="N10" s="301">
        <f>L10+M10</f>
        <v>92998</v>
      </c>
      <c r="O10" s="301">
        <v>144382</v>
      </c>
      <c r="P10" s="299">
        <f t="shared" si="2"/>
        <v>-0.355889238270699</v>
      </c>
      <c r="Q10" s="319">
        <f t="shared" si="5"/>
        <v>0.178842307692308</v>
      </c>
      <c r="R10" s="320" t="s">
        <v>25</v>
      </c>
      <c r="S10" s="320" t="s">
        <v>25</v>
      </c>
      <c r="T10" s="320" t="s">
        <v>25</v>
      </c>
      <c r="U10" s="305" t="s">
        <v>25</v>
      </c>
      <c r="V10" s="305" t="s">
        <v>25</v>
      </c>
      <c r="W10" s="321">
        <v>158763</v>
      </c>
      <c r="X10" s="321">
        <v>189673</v>
      </c>
      <c r="Y10" s="328">
        <f t="shared" si="3"/>
        <v>-0.162964681319956</v>
      </c>
      <c r="Z10" s="327">
        <f t="shared" si="10"/>
        <v>0.305313461538462</v>
      </c>
    </row>
    <row r="11" ht="26.1" hidden="1" customHeight="1" spans="1:26">
      <c r="A11" s="300" t="s">
        <v>45</v>
      </c>
      <c r="B11" s="301">
        <v>95000</v>
      </c>
      <c r="C11" s="301">
        <v>120000</v>
      </c>
      <c r="D11" s="299">
        <f t="shared" si="0"/>
        <v>-0.208333333333333</v>
      </c>
      <c r="E11" s="302"/>
      <c r="F11" s="303"/>
      <c r="G11" s="304"/>
      <c r="H11" s="305"/>
      <c r="I11" s="305"/>
      <c r="J11" s="305"/>
      <c r="K11" s="305"/>
      <c r="L11" s="301">
        <v>20000</v>
      </c>
      <c r="M11" s="301">
        <v>7000</v>
      </c>
      <c r="N11" s="301">
        <f>7000+20000</f>
        <v>27000</v>
      </c>
      <c r="O11" s="301">
        <v>36000</v>
      </c>
      <c r="P11" s="299">
        <f t="shared" si="2"/>
        <v>-0.25</v>
      </c>
      <c r="Q11" s="319">
        <f t="shared" si="5"/>
        <v>0.284210526315789</v>
      </c>
      <c r="R11" s="320" t="s">
        <v>25</v>
      </c>
      <c r="S11" s="320" t="s">
        <v>25</v>
      </c>
      <c r="T11" s="320" t="s">
        <v>25</v>
      </c>
      <c r="U11" s="305" t="s">
        <v>25</v>
      </c>
      <c r="V11" s="305" t="s">
        <v>25</v>
      </c>
      <c r="W11" s="321">
        <v>45000</v>
      </c>
      <c r="X11" s="321">
        <v>60000</v>
      </c>
      <c r="Y11" s="328">
        <f t="shared" si="3"/>
        <v>-0.25</v>
      </c>
      <c r="Z11" s="327">
        <f t="shared" si="10"/>
        <v>0.473684210526316</v>
      </c>
    </row>
    <row r="12" ht="30.95" customHeight="1" spans="1:26">
      <c r="A12" s="300" t="s">
        <v>115</v>
      </c>
      <c r="B12" s="301">
        <v>190000</v>
      </c>
      <c r="C12" s="301">
        <v>203144</v>
      </c>
      <c r="D12" s="299">
        <f t="shared" si="0"/>
        <v>-0.0647028708699248</v>
      </c>
      <c r="E12" s="302">
        <v>50000</v>
      </c>
      <c r="F12" s="301">
        <v>38000</v>
      </c>
      <c r="G12" s="299">
        <f t="shared" ref="G12:G25" si="11">E12/F12-1</f>
        <v>0.315789473684211</v>
      </c>
      <c r="H12" s="305">
        <f t="shared" ref="H12:H15" si="12">B12/E12</f>
        <v>3.8</v>
      </c>
      <c r="I12" s="305">
        <f t="shared" ref="I12:I15" si="13">C12/F12</f>
        <v>5.34589473684211</v>
      </c>
      <c r="J12" s="305"/>
      <c r="K12" s="305"/>
      <c r="L12" s="301">
        <v>32502</v>
      </c>
      <c r="M12" s="301">
        <f t="shared" ref="M12:M15" si="14">N12-L12</f>
        <v>16498</v>
      </c>
      <c r="N12" s="311">
        <v>49000</v>
      </c>
      <c r="O12" s="301">
        <v>39015</v>
      </c>
      <c r="P12" s="299">
        <f t="shared" si="2"/>
        <v>0.255927207484301</v>
      </c>
      <c r="Q12" s="319">
        <f t="shared" si="5"/>
        <v>0.257894736842105</v>
      </c>
      <c r="R12" s="320">
        <v>14097</v>
      </c>
      <c r="S12" s="301">
        <v>13178</v>
      </c>
      <c r="T12" s="299">
        <f t="shared" si="7"/>
        <v>0.0697374411898619</v>
      </c>
      <c r="U12" s="305">
        <f t="shared" si="8"/>
        <v>3.47591686174363</v>
      </c>
      <c r="V12" s="305">
        <f t="shared" si="9"/>
        <v>2.96061617847928</v>
      </c>
      <c r="W12" s="322">
        <v>90000</v>
      </c>
      <c r="X12" s="321">
        <v>70826</v>
      </c>
      <c r="Y12" s="328">
        <f t="shared" si="3"/>
        <v>0.270719792166718</v>
      </c>
      <c r="Z12" s="327">
        <f t="shared" si="10"/>
        <v>0.473684210526316</v>
      </c>
    </row>
    <row r="13" ht="30.95" customHeight="1" spans="1:26">
      <c r="A13" s="300" t="s">
        <v>116</v>
      </c>
      <c r="B13" s="301">
        <v>250000</v>
      </c>
      <c r="C13" s="301">
        <v>200749</v>
      </c>
      <c r="D13" s="299">
        <f t="shared" si="0"/>
        <v>0.245336215871561</v>
      </c>
      <c r="E13" s="302">
        <v>218600</v>
      </c>
      <c r="F13" s="301">
        <v>215291</v>
      </c>
      <c r="G13" s="299">
        <f t="shared" si="11"/>
        <v>0.0153698947006609</v>
      </c>
      <c r="H13" s="305">
        <f t="shared" si="12"/>
        <v>1.14364135407136</v>
      </c>
      <c r="I13" s="305">
        <f t="shared" si="13"/>
        <v>0.93245421313478</v>
      </c>
      <c r="J13" s="305"/>
      <c r="K13" s="305"/>
      <c r="L13" s="301">
        <v>46068</v>
      </c>
      <c r="M13" s="301">
        <v>16000</v>
      </c>
      <c r="N13" s="311">
        <f>L13+M13</f>
        <v>62068</v>
      </c>
      <c r="O13" s="301">
        <v>49561</v>
      </c>
      <c r="P13" s="299">
        <f t="shared" si="2"/>
        <v>0.252355682895825</v>
      </c>
      <c r="Q13" s="319">
        <f t="shared" si="5"/>
        <v>0.248272</v>
      </c>
      <c r="R13" s="302">
        <v>72737</v>
      </c>
      <c r="S13" s="301">
        <v>59374</v>
      </c>
      <c r="T13" s="299">
        <f t="shared" si="7"/>
        <v>0.225064843197359</v>
      </c>
      <c r="U13" s="305">
        <f t="shared" si="8"/>
        <v>0.85332086833386</v>
      </c>
      <c r="V13" s="305">
        <f t="shared" si="9"/>
        <v>0.834725637484421</v>
      </c>
      <c r="W13" s="321">
        <v>94000</v>
      </c>
      <c r="X13" s="321">
        <v>83244</v>
      </c>
      <c r="Y13" s="328">
        <f t="shared" si="3"/>
        <v>0.129210513670655</v>
      </c>
      <c r="Z13" s="327">
        <f t="shared" si="10"/>
        <v>0.376</v>
      </c>
    </row>
    <row r="14" ht="30.95" customHeight="1" spans="1:26">
      <c r="A14" s="300" t="s">
        <v>47</v>
      </c>
      <c r="B14" s="301">
        <v>35000</v>
      </c>
      <c r="C14" s="301">
        <v>26463</v>
      </c>
      <c r="D14" s="299">
        <f t="shared" si="0"/>
        <v>0.322601367947701</v>
      </c>
      <c r="E14" s="302">
        <v>30000</v>
      </c>
      <c r="F14" s="301">
        <v>21106</v>
      </c>
      <c r="G14" s="299">
        <f t="shared" si="11"/>
        <v>0.421396759215389</v>
      </c>
      <c r="H14" s="305">
        <f t="shared" si="12"/>
        <v>1.16666666666667</v>
      </c>
      <c r="I14" s="305">
        <f t="shared" si="13"/>
        <v>1.25381408130389</v>
      </c>
      <c r="J14" s="305"/>
      <c r="K14" s="305"/>
      <c r="L14" s="301">
        <v>6518</v>
      </c>
      <c r="M14" s="301">
        <f t="shared" si="14"/>
        <v>525</v>
      </c>
      <c r="N14" s="311">
        <v>7043</v>
      </c>
      <c r="O14" s="301">
        <v>5424</v>
      </c>
      <c r="P14" s="299">
        <f t="shared" si="2"/>
        <v>0.29848820058997</v>
      </c>
      <c r="Q14" s="319">
        <f t="shared" si="5"/>
        <v>0.201228571428571</v>
      </c>
      <c r="R14" s="302">
        <v>12233</v>
      </c>
      <c r="S14" s="301">
        <v>3589</v>
      </c>
      <c r="T14" s="299">
        <f t="shared" si="7"/>
        <v>2.4084703259961</v>
      </c>
      <c r="U14" s="305">
        <f t="shared" si="8"/>
        <v>0.575737758522031</v>
      </c>
      <c r="V14" s="305">
        <f t="shared" si="9"/>
        <v>1.51128448035665</v>
      </c>
      <c r="W14" s="322">
        <v>12518</v>
      </c>
      <c r="X14" s="321">
        <v>11629</v>
      </c>
      <c r="Y14" s="328">
        <f t="shared" si="3"/>
        <v>0.0764468139994841</v>
      </c>
      <c r="Z14" s="327">
        <f t="shared" si="10"/>
        <v>0.357657142857143</v>
      </c>
    </row>
    <row r="15" ht="30.95" customHeight="1" spans="1:26">
      <c r="A15" s="300" t="s">
        <v>56</v>
      </c>
      <c r="B15" s="301">
        <v>30000</v>
      </c>
      <c r="C15" s="301">
        <v>17221</v>
      </c>
      <c r="D15" s="299">
        <f t="shared" si="0"/>
        <v>0.742059113872597</v>
      </c>
      <c r="E15" s="302">
        <v>22396.534201348</v>
      </c>
      <c r="F15" s="306">
        <v>17723.36</v>
      </c>
      <c r="G15" s="299">
        <f t="shared" si="11"/>
        <v>0.263673152345153</v>
      </c>
      <c r="H15" s="305">
        <f t="shared" si="12"/>
        <v>1.33949296486214</v>
      </c>
      <c r="I15" s="305">
        <f t="shared" si="13"/>
        <v>0.971655487447075</v>
      </c>
      <c r="J15" s="305"/>
      <c r="K15" s="305"/>
      <c r="L15" s="301">
        <v>5326</v>
      </c>
      <c r="M15" s="301">
        <f t="shared" si="14"/>
        <v>493</v>
      </c>
      <c r="N15" s="311">
        <v>5819</v>
      </c>
      <c r="O15" s="301">
        <v>3758</v>
      </c>
      <c r="P15" s="299">
        <f t="shared" si="2"/>
        <v>0.548430015965939</v>
      </c>
      <c r="Q15" s="319">
        <f t="shared" si="5"/>
        <v>0.193966666666667</v>
      </c>
      <c r="R15" s="323">
        <v>5788</v>
      </c>
      <c r="S15" s="306">
        <v>5318</v>
      </c>
      <c r="T15" s="299">
        <f t="shared" si="7"/>
        <v>0.0883790898834149</v>
      </c>
      <c r="U15" s="305">
        <f t="shared" si="8"/>
        <v>1.00535590877678</v>
      </c>
      <c r="V15" s="305">
        <f t="shared" si="9"/>
        <v>0.706656637833772</v>
      </c>
      <c r="W15" s="322">
        <v>10834</v>
      </c>
      <c r="X15" s="321">
        <v>9551</v>
      </c>
      <c r="Y15" s="328">
        <f t="shared" si="3"/>
        <v>0.134331483614281</v>
      </c>
      <c r="Z15" s="327">
        <f t="shared" si="10"/>
        <v>0.361133333333333</v>
      </c>
    </row>
    <row r="16" ht="30.95" customHeight="1" spans="1:26">
      <c r="A16" s="300" t="s">
        <v>64</v>
      </c>
      <c r="B16" s="301">
        <v>90000</v>
      </c>
      <c r="C16" s="302">
        <f t="shared" ref="C16:F16" si="15">C17+C18</f>
        <v>55750</v>
      </c>
      <c r="D16" s="299">
        <f t="shared" si="0"/>
        <v>0.614349775784753</v>
      </c>
      <c r="E16" s="302">
        <f t="shared" si="15"/>
        <v>80691</v>
      </c>
      <c r="F16" s="302">
        <f t="shared" si="15"/>
        <v>67333</v>
      </c>
      <c r="G16" s="299">
        <f t="shared" si="11"/>
        <v>0.198387120728321</v>
      </c>
      <c r="H16" s="305"/>
      <c r="I16" s="305"/>
      <c r="J16" s="305"/>
      <c r="K16" s="305"/>
      <c r="L16" s="302">
        <f>L17+L18</f>
        <v>22642</v>
      </c>
      <c r="M16" s="302">
        <f>M17+M18</f>
        <v>5314</v>
      </c>
      <c r="N16" s="312">
        <f>N17+N18</f>
        <v>27956</v>
      </c>
      <c r="O16" s="302">
        <f>O17+O18</f>
        <v>22997</v>
      </c>
      <c r="P16" s="299">
        <f t="shared" si="2"/>
        <v>0.215636822194199</v>
      </c>
      <c r="Q16" s="319">
        <f t="shared" si="5"/>
        <v>0.310622222222222</v>
      </c>
      <c r="R16" s="302">
        <f t="shared" ref="R16:U16" si="16">R17+R18</f>
        <v>19761</v>
      </c>
      <c r="S16" s="302">
        <f t="shared" si="16"/>
        <v>29190</v>
      </c>
      <c r="T16" s="299">
        <f t="shared" si="7"/>
        <v>-0.323021582733813</v>
      </c>
      <c r="U16" s="302">
        <f t="shared" si="16"/>
        <v>2.96791023605562</v>
      </c>
      <c r="V16" s="305">
        <f t="shared" si="9"/>
        <v>0.787838300787941</v>
      </c>
      <c r="W16" s="324">
        <f>W17+W18</f>
        <v>34641</v>
      </c>
      <c r="X16" s="324">
        <f>X17+X18</f>
        <v>33892</v>
      </c>
      <c r="Y16" s="328">
        <f t="shared" si="3"/>
        <v>0.0220996105275582</v>
      </c>
      <c r="Z16" s="327">
        <f t="shared" si="10"/>
        <v>0.3849</v>
      </c>
    </row>
    <row r="17" ht="30.95" hidden="1" customHeight="1" spans="1:26">
      <c r="A17" s="300" t="s">
        <v>117</v>
      </c>
      <c r="B17" s="302">
        <v>70000</v>
      </c>
      <c r="C17" s="301">
        <v>35204</v>
      </c>
      <c r="D17" s="299">
        <f t="shared" si="0"/>
        <v>0.988410407908192</v>
      </c>
      <c r="E17" s="302">
        <v>66191</v>
      </c>
      <c r="F17" s="306">
        <v>50754</v>
      </c>
      <c r="G17" s="299">
        <f t="shared" si="11"/>
        <v>0.304153367222288</v>
      </c>
      <c r="H17" s="305">
        <f t="shared" ref="H17:H20" si="17">B17/E17</f>
        <v>1.05754558776873</v>
      </c>
      <c r="I17" s="305">
        <f t="shared" ref="I17:I20" si="18">C17/F17</f>
        <v>0.693620207274304</v>
      </c>
      <c r="J17" s="305"/>
      <c r="K17" s="305"/>
      <c r="L17" s="301">
        <v>17553</v>
      </c>
      <c r="M17" s="301">
        <f t="shared" ref="M17:M20" si="19">N17-L17</f>
        <v>4398</v>
      </c>
      <c r="N17" s="311">
        <v>21951</v>
      </c>
      <c r="O17" s="301">
        <v>15611</v>
      </c>
      <c r="P17" s="299">
        <f t="shared" si="2"/>
        <v>0.406123887002754</v>
      </c>
      <c r="Q17" s="319">
        <f t="shared" si="5"/>
        <v>0.313585714285714</v>
      </c>
      <c r="R17" s="302">
        <v>15998</v>
      </c>
      <c r="S17" s="306">
        <v>21929</v>
      </c>
      <c r="T17" s="299">
        <f t="shared" si="7"/>
        <v>-0.270463769437731</v>
      </c>
      <c r="U17" s="305">
        <f t="shared" ref="U17:U25" si="20">N17/R17</f>
        <v>1.3721090136267</v>
      </c>
      <c r="V17" s="305">
        <f t="shared" si="9"/>
        <v>0.711888367002599</v>
      </c>
      <c r="W17" s="321">
        <v>23552</v>
      </c>
      <c r="X17" s="321">
        <v>21515</v>
      </c>
      <c r="Y17" s="328">
        <f t="shared" si="3"/>
        <v>0.0946781315361376</v>
      </c>
      <c r="Z17" s="327">
        <f t="shared" si="10"/>
        <v>0.336457142857143</v>
      </c>
    </row>
    <row r="18" ht="30.95" hidden="1" customHeight="1" spans="1:26">
      <c r="A18" s="300" t="s">
        <v>118</v>
      </c>
      <c r="B18" s="302">
        <v>21000</v>
      </c>
      <c r="C18" s="301">
        <v>20546</v>
      </c>
      <c r="D18" s="299">
        <f t="shared" si="0"/>
        <v>0.0220967584931373</v>
      </c>
      <c r="E18" s="302">
        <v>14500</v>
      </c>
      <c r="F18" s="306">
        <v>16579</v>
      </c>
      <c r="G18" s="299">
        <f t="shared" si="11"/>
        <v>-0.125399601906026</v>
      </c>
      <c r="H18" s="305">
        <f t="shared" si="17"/>
        <v>1.44827586206897</v>
      </c>
      <c r="I18" s="305">
        <f t="shared" si="18"/>
        <v>1.23927860546474</v>
      </c>
      <c r="J18" s="305"/>
      <c r="K18" s="305"/>
      <c r="L18" s="301">
        <v>5089</v>
      </c>
      <c r="M18" s="301">
        <f t="shared" si="19"/>
        <v>916</v>
      </c>
      <c r="N18" s="311">
        <v>6005</v>
      </c>
      <c r="O18" s="301">
        <v>7386</v>
      </c>
      <c r="P18" s="299">
        <f t="shared" si="2"/>
        <v>-0.186975358786894</v>
      </c>
      <c r="Q18" s="319">
        <f t="shared" si="5"/>
        <v>0.285952380952381</v>
      </c>
      <c r="R18" s="302">
        <v>3763</v>
      </c>
      <c r="S18" s="306">
        <v>7261</v>
      </c>
      <c r="T18" s="299">
        <f t="shared" si="7"/>
        <v>-0.481751824817518</v>
      </c>
      <c r="U18" s="305">
        <f t="shared" si="20"/>
        <v>1.59580122242891</v>
      </c>
      <c r="V18" s="305">
        <f t="shared" si="9"/>
        <v>1.01721525960611</v>
      </c>
      <c r="W18" s="321">
        <v>11089</v>
      </c>
      <c r="X18" s="321">
        <v>12377</v>
      </c>
      <c r="Y18" s="328">
        <f t="shared" si="3"/>
        <v>-0.104063989658237</v>
      </c>
      <c r="Z18" s="327">
        <f t="shared" si="10"/>
        <v>0.528047619047619</v>
      </c>
    </row>
    <row r="19" ht="30.95" customHeight="1" spans="1:26">
      <c r="A19" s="300" t="s">
        <v>119</v>
      </c>
      <c r="B19" s="301">
        <v>65000</v>
      </c>
      <c r="C19" s="301">
        <v>88729</v>
      </c>
      <c r="D19" s="299">
        <f t="shared" si="0"/>
        <v>-0.267432293838542</v>
      </c>
      <c r="E19" s="302">
        <v>54000</v>
      </c>
      <c r="F19" s="306">
        <v>42781.47</v>
      </c>
      <c r="G19" s="299">
        <f t="shared" si="11"/>
        <v>0.262228717246041</v>
      </c>
      <c r="H19" s="305">
        <f t="shared" si="17"/>
        <v>1.2037037037037</v>
      </c>
      <c r="I19" s="305">
        <f t="shared" si="18"/>
        <v>2.07400540467637</v>
      </c>
      <c r="J19" s="305"/>
      <c r="K19" s="305"/>
      <c r="L19" s="301">
        <v>28530</v>
      </c>
      <c r="M19" s="301">
        <f t="shared" si="19"/>
        <v>5000</v>
      </c>
      <c r="N19" s="311">
        <v>33530</v>
      </c>
      <c r="O19" s="301">
        <v>44233</v>
      </c>
      <c r="P19" s="299">
        <f t="shared" si="2"/>
        <v>-0.241968665928153</v>
      </c>
      <c r="Q19" s="319">
        <f t="shared" si="5"/>
        <v>0.515846153846154</v>
      </c>
      <c r="R19" s="302">
        <v>9300</v>
      </c>
      <c r="S19" s="306">
        <v>10555</v>
      </c>
      <c r="T19" s="299">
        <f t="shared" si="7"/>
        <v>-0.118900994789199</v>
      </c>
      <c r="U19" s="305">
        <f t="shared" si="20"/>
        <v>3.60537634408602</v>
      </c>
      <c r="V19" s="305">
        <f t="shared" si="9"/>
        <v>4.19071530080531</v>
      </c>
      <c r="W19" s="321">
        <v>45000</v>
      </c>
      <c r="X19" s="321">
        <v>55738</v>
      </c>
      <c r="Y19" s="328">
        <f t="shared" si="3"/>
        <v>-0.192651333022355</v>
      </c>
      <c r="Z19" s="327">
        <f t="shared" si="10"/>
        <v>0.692307692307692</v>
      </c>
    </row>
    <row r="20" ht="30.95" customHeight="1" spans="1:26">
      <c r="A20" s="300" t="s">
        <v>66</v>
      </c>
      <c r="B20" s="301">
        <v>50000</v>
      </c>
      <c r="C20" s="301">
        <v>32324</v>
      </c>
      <c r="D20" s="299">
        <f t="shared" si="0"/>
        <v>0.546838262591264</v>
      </c>
      <c r="E20" s="302">
        <v>58400</v>
      </c>
      <c r="F20" s="306">
        <f>(365094689.44+47311989.73)/10000</f>
        <v>41240.667917</v>
      </c>
      <c r="G20" s="299">
        <f t="shared" si="11"/>
        <v>0.416077938348003</v>
      </c>
      <c r="H20" s="305">
        <f t="shared" si="17"/>
        <v>0.856164383561644</v>
      </c>
      <c r="I20" s="305">
        <f t="shared" si="18"/>
        <v>0.783789439711658</v>
      </c>
      <c r="J20" s="305"/>
      <c r="K20" s="305"/>
      <c r="L20" s="301">
        <v>8735</v>
      </c>
      <c r="M20" s="301">
        <f t="shared" si="19"/>
        <v>2800</v>
      </c>
      <c r="N20" s="311">
        <v>11535</v>
      </c>
      <c r="O20" s="301">
        <v>7857</v>
      </c>
      <c r="P20" s="299">
        <f t="shared" si="2"/>
        <v>0.468117602138221</v>
      </c>
      <c r="Q20" s="319">
        <f t="shared" si="5"/>
        <v>0.2307</v>
      </c>
      <c r="R20" s="302">
        <f>12047+1409</f>
        <v>13456</v>
      </c>
      <c r="S20" s="306">
        <f>9826+1102</f>
        <v>10928</v>
      </c>
      <c r="T20" s="299">
        <f t="shared" si="7"/>
        <v>0.231332357247438</v>
      </c>
      <c r="U20" s="305">
        <f t="shared" si="20"/>
        <v>0.85723840665874</v>
      </c>
      <c r="V20" s="305">
        <f t="shared" si="9"/>
        <v>0.718978770131772</v>
      </c>
      <c r="W20" s="321">
        <v>17335</v>
      </c>
      <c r="X20" s="321">
        <v>13836</v>
      </c>
      <c r="Y20" s="328">
        <f t="shared" si="3"/>
        <v>0.252891008962128</v>
      </c>
      <c r="Z20" s="327">
        <f t="shared" si="10"/>
        <v>0.3467</v>
      </c>
    </row>
    <row r="21" ht="30.95" customHeight="1" spans="1:26">
      <c r="A21" s="300" t="s">
        <v>63</v>
      </c>
      <c r="B21" s="301">
        <f t="shared" ref="B21:F21" si="21">B22+B23</f>
        <v>173000</v>
      </c>
      <c r="C21" s="301">
        <f t="shared" si="21"/>
        <v>113954</v>
      </c>
      <c r="D21" s="299">
        <f t="shared" si="0"/>
        <v>0.518156449093494</v>
      </c>
      <c r="E21" s="307">
        <f t="shared" si="21"/>
        <v>159085.069721724</v>
      </c>
      <c r="F21" s="307">
        <f t="shared" si="21"/>
        <v>126444.649069999</v>
      </c>
      <c r="G21" s="299">
        <f t="shared" si="11"/>
        <v>0.258139991623176</v>
      </c>
      <c r="H21" s="305"/>
      <c r="I21" s="305"/>
      <c r="J21" s="305"/>
      <c r="K21" s="305"/>
      <c r="L21" s="301">
        <f>L22+L23</f>
        <v>25836</v>
      </c>
      <c r="M21" s="301">
        <f>M22+M23</f>
        <v>7219</v>
      </c>
      <c r="N21" s="311">
        <f>N22+N23</f>
        <v>33055</v>
      </c>
      <c r="O21" s="301">
        <f>O22+O23</f>
        <v>29726</v>
      </c>
      <c r="P21" s="299">
        <f t="shared" si="2"/>
        <v>0.111989504137792</v>
      </c>
      <c r="Q21" s="319">
        <f t="shared" si="5"/>
        <v>0.19106936416185</v>
      </c>
      <c r="R21" s="301">
        <f t="shared" ref="R21:X21" si="22">R22+R23</f>
        <v>33746</v>
      </c>
      <c r="S21" s="301">
        <f t="shared" si="22"/>
        <v>30384</v>
      </c>
      <c r="T21" s="299">
        <f t="shared" si="7"/>
        <v>0.110650342285413</v>
      </c>
      <c r="U21" s="305">
        <f t="shared" si="20"/>
        <v>0.979523499081373</v>
      </c>
      <c r="V21" s="305">
        <f t="shared" si="9"/>
        <v>0.978343865192206</v>
      </c>
      <c r="W21" s="321">
        <f t="shared" si="22"/>
        <v>66967</v>
      </c>
      <c r="X21" s="321">
        <f t="shared" si="22"/>
        <v>49818</v>
      </c>
      <c r="Y21" s="328">
        <f t="shared" si="3"/>
        <v>0.344233008149665</v>
      </c>
      <c r="Z21" s="327">
        <f t="shared" si="10"/>
        <v>0.387092485549133</v>
      </c>
    </row>
    <row r="22" ht="30.95" hidden="1" customHeight="1" spans="1:26">
      <c r="A22" s="300" t="s">
        <v>120</v>
      </c>
      <c r="B22" s="301">
        <v>151000</v>
      </c>
      <c r="C22" s="301">
        <v>111156</v>
      </c>
      <c r="D22" s="299">
        <f t="shared" si="0"/>
        <v>0.358451185720969</v>
      </c>
      <c r="E22" s="302">
        <v>134225.069721724</v>
      </c>
      <c r="F22" s="306">
        <v>120479.584646999</v>
      </c>
      <c r="G22" s="299">
        <f t="shared" si="11"/>
        <v>0.114089744872534</v>
      </c>
      <c r="H22" s="305">
        <f t="shared" ref="H22:H25" si="23">B22/E22</f>
        <v>1.12497613384038</v>
      </c>
      <c r="I22" s="305">
        <f t="shared" ref="I22:I25" si="24">C22/F22</f>
        <v>0.922612742446641</v>
      </c>
      <c r="J22" s="305"/>
      <c r="K22" s="305"/>
      <c r="L22" s="301">
        <v>25008</v>
      </c>
      <c r="M22" s="301">
        <f t="shared" ref="M22:M25" si="25">N22-L22</f>
        <v>6800</v>
      </c>
      <c r="N22" s="311">
        <v>31808</v>
      </c>
      <c r="O22" s="301">
        <v>29068</v>
      </c>
      <c r="P22" s="299">
        <f t="shared" si="2"/>
        <v>0.0942617311132516</v>
      </c>
      <c r="Q22" s="319">
        <f t="shared" si="5"/>
        <v>0.210649006622517</v>
      </c>
      <c r="R22" s="302">
        <v>32199</v>
      </c>
      <c r="S22" s="306">
        <v>26476</v>
      </c>
      <c r="T22" s="299">
        <f t="shared" si="7"/>
        <v>0.216158029913884</v>
      </c>
      <c r="U22" s="305">
        <f t="shared" si="20"/>
        <v>0.987856765738066</v>
      </c>
      <c r="V22" s="305">
        <f t="shared" si="9"/>
        <v>1.09789998489198</v>
      </c>
      <c r="W22" s="321">
        <v>62039</v>
      </c>
      <c r="X22" s="321">
        <v>48969</v>
      </c>
      <c r="Y22" s="328">
        <f t="shared" si="3"/>
        <v>0.266903551226286</v>
      </c>
      <c r="Z22" s="327">
        <f t="shared" si="10"/>
        <v>0.410854304635762</v>
      </c>
    </row>
    <row r="23" ht="30.95" hidden="1" customHeight="1" spans="1:26">
      <c r="A23" s="300" t="s">
        <v>121</v>
      </c>
      <c r="B23" s="301">
        <v>22000</v>
      </c>
      <c r="C23" s="301">
        <v>2798</v>
      </c>
      <c r="D23" s="299">
        <f t="shared" si="0"/>
        <v>6.86275911365261</v>
      </c>
      <c r="E23" s="302">
        <f>22000*1.13</f>
        <v>24860</v>
      </c>
      <c r="F23" s="306">
        <v>5965.064423</v>
      </c>
      <c r="G23" s="299">
        <f t="shared" si="11"/>
        <v>3.16759958268769</v>
      </c>
      <c r="H23" s="305">
        <f t="shared" si="23"/>
        <v>0.88495575221239</v>
      </c>
      <c r="I23" s="305">
        <f t="shared" si="24"/>
        <v>0.46906450653098</v>
      </c>
      <c r="J23" s="305"/>
      <c r="K23" s="305"/>
      <c r="L23" s="301">
        <v>828</v>
      </c>
      <c r="M23" s="301">
        <f t="shared" si="25"/>
        <v>419</v>
      </c>
      <c r="N23" s="311">
        <v>1247</v>
      </c>
      <c r="O23" s="301">
        <v>658</v>
      </c>
      <c r="P23" s="299">
        <f t="shared" si="2"/>
        <v>0.895136778115502</v>
      </c>
      <c r="Q23" s="319">
        <f t="shared" si="5"/>
        <v>0.0566818181818182</v>
      </c>
      <c r="R23" s="302">
        <v>1547</v>
      </c>
      <c r="S23" s="306">
        <v>3908</v>
      </c>
      <c r="T23" s="299">
        <f t="shared" si="7"/>
        <v>-0.604145342886387</v>
      </c>
      <c r="U23" s="305">
        <f t="shared" si="20"/>
        <v>0.806076276664512</v>
      </c>
      <c r="V23" s="305">
        <f t="shared" si="9"/>
        <v>0.168372569089048</v>
      </c>
      <c r="W23" s="321">
        <v>4928</v>
      </c>
      <c r="X23" s="321">
        <v>849</v>
      </c>
      <c r="Y23" s="328">
        <f t="shared" si="3"/>
        <v>4.80447585394582</v>
      </c>
      <c r="Z23" s="327">
        <f t="shared" si="10"/>
        <v>0.224</v>
      </c>
    </row>
    <row r="24" ht="30.95" customHeight="1" spans="1:26">
      <c r="A24" s="300" t="s">
        <v>89</v>
      </c>
      <c r="B24" s="301">
        <v>47000</v>
      </c>
      <c r="C24" s="301">
        <v>42429</v>
      </c>
      <c r="D24" s="299">
        <f t="shared" si="0"/>
        <v>0.107732918522708</v>
      </c>
      <c r="E24" s="302">
        <v>66600</v>
      </c>
      <c r="F24" s="306">
        <v>65914.8</v>
      </c>
      <c r="G24" s="299">
        <f t="shared" si="11"/>
        <v>0.010395237488394</v>
      </c>
      <c r="H24" s="305">
        <f t="shared" si="23"/>
        <v>0.705705705705706</v>
      </c>
      <c r="I24" s="305">
        <f t="shared" si="24"/>
        <v>0.643694587558485</v>
      </c>
      <c r="J24" s="305"/>
      <c r="K24" s="305"/>
      <c r="L24" s="301">
        <v>20069</v>
      </c>
      <c r="M24" s="301">
        <f t="shared" si="25"/>
        <v>1999</v>
      </c>
      <c r="N24" s="311">
        <v>22068</v>
      </c>
      <c r="O24" s="301">
        <v>18787</v>
      </c>
      <c r="P24" s="299">
        <f t="shared" si="2"/>
        <v>0.174642039708309</v>
      </c>
      <c r="Q24" s="319">
        <f t="shared" si="5"/>
        <v>0.469531914893617</v>
      </c>
      <c r="R24" s="323">
        <v>20341</v>
      </c>
      <c r="S24" s="306">
        <v>29605</v>
      </c>
      <c r="T24" s="299">
        <f t="shared" si="7"/>
        <v>-0.312920114845465</v>
      </c>
      <c r="U24" s="305">
        <f t="shared" si="20"/>
        <v>1.08490241384396</v>
      </c>
      <c r="V24" s="305">
        <f t="shared" si="9"/>
        <v>0.634588751900017</v>
      </c>
      <c r="W24" s="321">
        <v>27000</v>
      </c>
      <c r="X24" s="321">
        <v>23273</v>
      </c>
      <c r="Y24" s="328">
        <f t="shared" si="3"/>
        <v>0.160142654578267</v>
      </c>
      <c r="Z24" s="327">
        <f t="shared" si="10"/>
        <v>0.574468085106383</v>
      </c>
    </row>
    <row r="25" ht="30.95" customHeight="1" spans="1:26">
      <c r="A25" s="300" t="s">
        <v>122</v>
      </c>
      <c r="B25" s="301">
        <v>5600</v>
      </c>
      <c r="C25" s="301">
        <v>4118</v>
      </c>
      <c r="D25" s="299">
        <f t="shared" si="0"/>
        <v>0.359883438562409</v>
      </c>
      <c r="E25" s="302">
        <v>6142.8</v>
      </c>
      <c r="F25" s="306">
        <v>4211.1</v>
      </c>
      <c r="G25" s="299">
        <f t="shared" si="11"/>
        <v>0.45871624991095</v>
      </c>
      <c r="H25" s="305">
        <f t="shared" si="23"/>
        <v>0.911636387315231</v>
      </c>
      <c r="I25" s="305">
        <f t="shared" si="24"/>
        <v>0.977891762247394</v>
      </c>
      <c r="J25" s="305"/>
      <c r="K25" s="305"/>
      <c r="L25" s="301">
        <v>1003</v>
      </c>
      <c r="M25" s="301">
        <f t="shared" si="25"/>
        <v>577</v>
      </c>
      <c r="N25" s="311">
        <v>1580</v>
      </c>
      <c r="O25" s="301">
        <v>1237</v>
      </c>
      <c r="P25" s="299">
        <f t="shared" si="2"/>
        <v>0.277283751010509</v>
      </c>
      <c r="Q25" s="319">
        <f t="shared" si="5"/>
        <v>0.282142857142857</v>
      </c>
      <c r="R25" s="302">
        <v>1654</v>
      </c>
      <c r="S25" s="306">
        <v>935</v>
      </c>
      <c r="T25" s="299">
        <f t="shared" si="7"/>
        <v>0.768983957219251</v>
      </c>
      <c r="U25" s="305">
        <f t="shared" si="20"/>
        <v>0.955259975816203</v>
      </c>
      <c r="V25" s="305">
        <f t="shared" si="9"/>
        <v>1.32299465240642</v>
      </c>
      <c r="W25" s="321">
        <v>2381</v>
      </c>
      <c r="X25" s="321">
        <v>1616</v>
      </c>
      <c r="Y25" s="328">
        <f t="shared" si="3"/>
        <v>0.473391089108911</v>
      </c>
      <c r="Z25" s="327">
        <f t="shared" si="10"/>
        <v>0.425178571428571</v>
      </c>
    </row>
  </sheetData>
  <sheetProtection formatCells="0" insertHyperlinks="0" autoFilter="0"/>
  <mergeCells count="11">
    <mergeCell ref="A2:V2"/>
    <mergeCell ref="A3:V3"/>
    <mergeCell ref="U4:V4"/>
    <mergeCell ref="B5:D5"/>
    <mergeCell ref="E5:G5"/>
    <mergeCell ref="H5:I5"/>
    <mergeCell ref="K5:Q5"/>
    <mergeCell ref="R5:T5"/>
    <mergeCell ref="U5:V5"/>
    <mergeCell ref="W5:Z5"/>
    <mergeCell ref="A5:A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XFD104"/>
  <sheetViews>
    <sheetView tabSelected="1" view="pageBreakPreview" zoomScaleNormal="100" workbookViewId="0">
      <pane xSplit="4" ySplit="6" topLeftCell="E62" activePane="bottomRight" state="frozen"/>
      <selection/>
      <selection pane="topRight"/>
      <selection pane="bottomLeft"/>
      <selection pane="bottomRight" activeCell="AT105" sqref="AT104:AT105"/>
    </sheetView>
  </sheetViews>
  <sheetFormatPr defaultColWidth="7.125" defaultRowHeight="14.25"/>
  <cols>
    <col min="1" max="1" width="7.875" style="8" hidden="1" customWidth="1"/>
    <col min="2" max="2" width="7.875" style="141" hidden="1" customWidth="1"/>
    <col min="3" max="3" width="6.875" style="8" customWidth="1"/>
    <col min="4" max="4" width="18.75" style="9" customWidth="1"/>
    <col min="5" max="5" width="6.375" style="10" hidden="1" customWidth="1"/>
    <col min="6" max="6" width="7.375" style="10" hidden="1" customWidth="1"/>
    <col min="7" max="7" width="6.625" style="10" hidden="1" customWidth="1" outlineLevel="1"/>
    <col min="8" max="8" width="10.625" style="10" hidden="1" customWidth="1" collapsed="1"/>
    <col min="9" max="9" width="10" style="10" hidden="1" customWidth="1" outlineLevel="1"/>
    <col min="10" max="10" width="9.5" style="11" hidden="1" customWidth="1" outlineLevel="1"/>
    <col min="11" max="11" width="10.125" style="12" hidden="1" customWidth="1" collapsed="1"/>
    <col min="12" max="12" width="10.25" style="12" hidden="1" customWidth="1"/>
    <col min="13" max="13" width="9.375" style="12" hidden="1" customWidth="1"/>
    <col min="14" max="14" width="8.375" style="11" hidden="1" customWidth="1"/>
    <col min="15" max="15" width="8.375" style="11" hidden="1" customWidth="1" outlineLevel="1"/>
    <col min="16" max="17" width="9.625" style="11" hidden="1" customWidth="1" outlineLevel="1"/>
    <col min="18" max="18" width="9.625" style="12" hidden="1" customWidth="1" outlineLevel="1" collapsed="1"/>
    <col min="19" max="23" width="9.625" style="12" hidden="1" customWidth="1" outlineLevel="1"/>
    <col min="24" max="24" width="9.625" style="12" hidden="1" customWidth="1" collapsed="1"/>
    <col min="25" max="25" width="10.125" style="12" customWidth="1"/>
    <col min="26" max="26" width="10.125" style="142" hidden="1" customWidth="1"/>
    <col min="27" max="28" width="9.625" style="12" hidden="1" customWidth="1"/>
    <col min="29" max="30" width="9.625" style="11" customWidth="1"/>
    <col min="31" max="31" width="11" style="12" hidden="1" customWidth="1"/>
    <col min="32" max="32" width="9.25" style="11" hidden="1" customWidth="1"/>
    <col min="33" max="33" width="7.75" style="10" hidden="1" customWidth="1"/>
    <col min="34" max="34" width="7.875" style="10" hidden="1" customWidth="1"/>
    <col min="35" max="35" width="8.375" style="10" hidden="1" customWidth="1"/>
    <col min="36" max="36" width="9.75" style="12" hidden="1" customWidth="1"/>
    <col min="37" max="37" width="9.625" style="10" hidden="1" customWidth="1"/>
    <col min="38" max="38" width="8.5" style="10" hidden="1" customWidth="1"/>
    <col min="39" max="44" width="8.5" style="12" hidden="1" customWidth="1" outlineLevel="1"/>
    <col min="45" max="45" width="8.5" style="12" hidden="1" customWidth="1" collapsed="1"/>
    <col min="46" max="46" width="8.5" style="12" customWidth="1"/>
    <col min="47" max="47" width="8.5" style="142" hidden="1" customWidth="1"/>
    <col min="48" max="49" width="9.125" style="12" hidden="1" customWidth="1"/>
    <col min="50" max="50" width="11.125" style="10" customWidth="1"/>
    <col min="51" max="52" width="9.75" style="10" customWidth="1"/>
    <col min="53" max="53" width="9.75" style="143" hidden="1" customWidth="1"/>
    <col min="54" max="54" width="39.5" style="4" hidden="1" customWidth="1"/>
    <col min="55" max="55" width="8.5" style="4" hidden="1" customWidth="1"/>
    <col min="56" max="56" width="7.125" style="4" hidden="1" customWidth="1"/>
    <col min="57" max="57" width="9.5" style="4" customWidth="1"/>
    <col min="58" max="246" width="7.125" style="4"/>
    <col min="247" max="16350" width="7.125" style="1"/>
    <col min="16351" max="16384" width="7.125" style="13"/>
  </cols>
  <sheetData>
    <row r="1" ht="24" customHeight="1" spans="3:3">
      <c r="C1" s="144" t="s">
        <v>123</v>
      </c>
    </row>
    <row r="2" s="1" customFormat="1" ht="36" customHeight="1" spans="1:16358">
      <c r="A2" s="14" t="s">
        <v>124</v>
      </c>
      <c r="B2" s="145"/>
      <c r="C2" s="14"/>
      <c r="D2" s="146"/>
      <c r="E2" s="146"/>
      <c r="F2" s="14"/>
      <c r="G2" s="14"/>
      <c r="H2" s="14"/>
      <c r="I2" s="14"/>
      <c r="J2" s="14"/>
      <c r="K2" s="14"/>
      <c r="L2" s="146"/>
      <c r="M2" s="146"/>
      <c r="N2" s="14"/>
      <c r="O2" s="14"/>
      <c r="P2" s="14"/>
      <c r="Q2" s="14"/>
      <c r="R2" s="183"/>
      <c r="S2" s="183"/>
      <c r="T2" s="183"/>
      <c r="U2" s="183"/>
      <c r="V2" s="183"/>
      <c r="W2" s="183"/>
      <c r="X2" s="183"/>
      <c r="Y2" s="183"/>
      <c r="Z2" s="190"/>
      <c r="AA2" s="183"/>
      <c r="AB2" s="183"/>
      <c r="AC2" s="14"/>
      <c r="AD2" s="14"/>
      <c r="AE2" s="14"/>
      <c r="AF2" s="14"/>
      <c r="AG2" s="14"/>
      <c r="AH2" s="146"/>
      <c r="AI2" s="14"/>
      <c r="AJ2" s="14"/>
      <c r="AK2" s="14"/>
      <c r="AL2" s="14"/>
      <c r="AM2" s="183"/>
      <c r="AN2" s="183"/>
      <c r="AO2" s="183"/>
      <c r="AP2" s="183"/>
      <c r="AQ2" s="183"/>
      <c r="AR2" s="183"/>
      <c r="AS2" s="183"/>
      <c r="AT2" s="183"/>
      <c r="AU2" s="190"/>
      <c r="AV2" s="183"/>
      <c r="AW2" s="183"/>
      <c r="AX2" s="14"/>
      <c r="AY2" s="14"/>
      <c r="AZ2" s="14"/>
      <c r="BA2" s="145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XDW2" s="13"/>
      <c r="XDX2" s="13"/>
      <c r="XDY2" s="13"/>
      <c r="XDZ2" s="13"/>
      <c r="XEA2" s="13"/>
      <c r="XEB2" s="13"/>
      <c r="XEC2" s="13"/>
      <c r="XED2" s="13"/>
    </row>
    <row r="3" s="1" customFormat="1" ht="20" customHeight="1" spans="1:16358">
      <c r="A3" s="14"/>
      <c r="B3" s="145"/>
      <c r="C3" s="14"/>
      <c r="D3" s="146"/>
      <c r="E3" s="146"/>
      <c r="F3" s="14"/>
      <c r="G3" s="14"/>
      <c r="H3" s="14"/>
      <c r="I3" s="14"/>
      <c r="J3" s="14"/>
      <c r="K3" s="14"/>
      <c r="L3" s="146"/>
      <c r="M3" s="146"/>
      <c r="N3" s="14"/>
      <c r="O3" s="14"/>
      <c r="P3" s="14"/>
      <c r="Q3" s="14"/>
      <c r="R3" s="183"/>
      <c r="S3" s="183"/>
      <c r="T3" s="183"/>
      <c r="U3" s="183"/>
      <c r="V3" s="183"/>
      <c r="W3" s="183"/>
      <c r="X3" s="183"/>
      <c r="Y3" s="183"/>
      <c r="Z3" s="190"/>
      <c r="AA3" s="183"/>
      <c r="AB3" s="183"/>
      <c r="AC3" s="14"/>
      <c r="AD3" s="14"/>
      <c r="AE3" s="14"/>
      <c r="AF3" s="14"/>
      <c r="AG3" s="14"/>
      <c r="AH3" s="146"/>
      <c r="AI3" s="14"/>
      <c r="AJ3" s="14"/>
      <c r="AK3" s="14"/>
      <c r="AL3" s="14"/>
      <c r="AM3" s="183"/>
      <c r="AN3" s="183"/>
      <c r="AO3" s="183"/>
      <c r="AP3" s="183"/>
      <c r="AQ3" s="183"/>
      <c r="AR3" s="183"/>
      <c r="AS3" s="183"/>
      <c r="AT3" s="183"/>
      <c r="AU3" s="190"/>
      <c r="AV3" s="183"/>
      <c r="AW3" s="183"/>
      <c r="AX3" s="200" t="s">
        <v>94</v>
      </c>
      <c r="AY3" s="200"/>
      <c r="AZ3" s="200"/>
      <c r="BA3" s="201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XDW3" s="13"/>
      <c r="XDX3" s="13"/>
      <c r="XDY3" s="13"/>
      <c r="XDZ3" s="13"/>
      <c r="XEA3" s="13"/>
      <c r="XEB3" s="13"/>
      <c r="XEC3" s="13"/>
      <c r="XED3" s="13"/>
    </row>
    <row r="4" s="2" customFormat="1" ht="25" customHeight="1" spans="1:16358">
      <c r="A4" s="147" t="s">
        <v>125</v>
      </c>
      <c r="B4" s="148"/>
      <c r="C4" s="149" t="s">
        <v>126</v>
      </c>
      <c r="D4" s="18" t="s">
        <v>95</v>
      </c>
      <c r="E4" s="18"/>
      <c r="F4" s="86" t="s">
        <v>127</v>
      </c>
      <c r="G4" s="86" t="s">
        <v>39</v>
      </c>
      <c r="H4" s="150"/>
      <c r="I4" s="178"/>
      <c r="J4" s="178"/>
      <c r="K4" s="178"/>
      <c r="L4" s="178"/>
      <c r="M4" s="178"/>
      <c r="N4" s="178"/>
      <c r="O4" s="178"/>
      <c r="P4" s="178"/>
      <c r="Q4" s="178"/>
      <c r="R4" s="184"/>
      <c r="S4" s="184"/>
      <c r="T4" s="184"/>
      <c r="U4" s="184"/>
      <c r="V4" s="184"/>
      <c r="W4" s="184"/>
      <c r="X4" s="184"/>
      <c r="Y4" s="18" t="s">
        <v>12</v>
      </c>
      <c r="Z4" s="18"/>
      <c r="AA4" s="18"/>
      <c r="AB4" s="18"/>
      <c r="AC4" s="18"/>
      <c r="AD4" s="18"/>
      <c r="AE4" s="178"/>
      <c r="AF4" s="150"/>
      <c r="AG4" s="178"/>
      <c r="AH4" s="178"/>
      <c r="AI4" s="178"/>
      <c r="AJ4" s="178"/>
      <c r="AK4" s="178"/>
      <c r="AL4" s="178"/>
      <c r="AM4" s="184"/>
      <c r="AN4" s="184"/>
      <c r="AO4" s="184"/>
      <c r="AP4" s="184"/>
      <c r="AQ4" s="184"/>
      <c r="AR4" s="184"/>
      <c r="AS4" s="184"/>
      <c r="AT4" s="18" t="s">
        <v>23</v>
      </c>
      <c r="AU4" s="18"/>
      <c r="AV4" s="18"/>
      <c r="AW4" s="18"/>
      <c r="AX4" s="18"/>
      <c r="AY4" s="18"/>
      <c r="AZ4" s="202" t="s">
        <v>11</v>
      </c>
      <c r="BA4" s="148"/>
      <c r="XDW4" s="107"/>
      <c r="XDX4" s="107"/>
      <c r="XDY4" s="107"/>
      <c r="XDZ4" s="107"/>
      <c r="XEA4" s="107"/>
      <c r="XEB4" s="107"/>
      <c r="XEC4" s="107"/>
      <c r="XED4" s="107"/>
    </row>
    <row r="5" s="2" customFormat="1" ht="25" hidden="1" customHeight="1" outlineLevel="1" spans="1:16358">
      <c r="A5" s="147"/>
      <c r="B5" s="148"/>
      <c r="C5" s="149"/>
      <c r="D5" s="18"/>
      <c r="E5" s="18"/>
      <c r="F5" s="18"/>
      <c r="G5" s="18"/>
      <c r="H5" s="18" t="s">
        <v>128</v>
      </c>
      <c r="I5" s="21" t="s">
        <v>129</v>
      </c>
      <c r="J5" s="63" t="s">
        <v>130</v>
      </c>
      <c r="K5" s="64" t="s">
        <v>131</v>
      </c>
      <c r="L5" s="65" t="s">
        <v>102</v>
      </c>
      <c r="M5" s="64" t="s">
        <v>19</v>
      </c>
      <c r="N5" s="63" t="s">
        <v>103</v>
      </c>
      <c r="O5" s="63" t="s">
        <v>132</v>
      </c>
      <c r="P5" s="63" t="s">
        <v>133</v>
      </c>
      <c r="Q5" s="63" t="s">
        <v>109</v>
      </c>
      <c r="R5" s="64" t="s">
        <v>134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 t="s">
        <v>135</v>
      </c>
      <c r="AF5" s="85" t="s">
        <v>128</v>
      </c>
      <c r="AG5" s="86" t="s">
        <v>129</v>
      </c>
      <c r="AH5" s="65"/>
      <c r="AI5" s="63" t="s">
        <v>130</v>
      </c>
      <c r="AJ5" s="87" t="s">
        <v>131</v>
      </c>
      <c r="AK5" s="63" t="s">
        <v>103</v>
      </c>
      <c r="AL5" s="63" t="s">
        <v>133</v>
      </c>
      <c r="AM5" s="64"/>
      <c r="AN5" s="64"/>
      <c r="AO5" s="64"/>
      <c r="AP5" s="64"/>
      <c r="AQ5" s="64"/>
      <c r="AR5" s="64"/>
      <c r="AS5" s="64" t="s">
        <v>134</v>
      </c>
      <c r="AT5" s="64"/>
      <c r="AU5" s="64"/>
      <c r="AV5" s="64"/>
      <c r="AW5" s="64"/>
      <c r="AX5" s="64"/>
      <c r="AY5" s="63" t="s">
        <v>136</v>
      </c>
      <c r="AZ5" s="202"/>
      <c r="BA5" s="148"/>
      <c r="XDW5" s="107"/>
      <c r="XDX5" s="107"/>
      <c r="XDY5" s="107"/>
      <c r="XDZ5" s="107"/>
      <c r="XEA5" s="107"/>
      <c r="XEB5" s="107"/>
      <c r="XEC5" s="107"/>
      <c r="XED5" s="107"/>
    </row>
    <row r="6" s="2" customFormat="1" ht="25" customHeight="1" collapsed="1" spans="1:16358">
      <c r="A6" s="147"/>
      <c r="B6" s="148"/>
      <c r="C6" s="149"/>
      <c r="D6" s="18"/>
      <c r="E6" s="18"/>
      <c r="F6" s="18"/>
      <c r="G6" s="18"/>
      <c r="H6" s="18"/>
      <c r="I6" s="21"/>
      <c r="J6" s="63"/>
      <c r="K6" s="64"/>
      <c r="L6" s="65"/>
      <c r="M6" s="65"/>
      <c r="N6" s="63"/>
      <c r="O6" s="63"/>
      <c r="P6" s="63"/>
      <c r="Q6" s="63"/>
      <c r="R6" s="64" t="s">
        <v>137</v>
      </c>
      <c r="S6" s="64" t="s">
        <v>138</v>
      </c>
      <c r="T6" s="64" t="s">
        <v>139</v>
      </c>
      <c r="U6" s="64" t="s">
        <v>140</v>
      </c>
      <c r="V6" s="64" t="s">
        <v>141</v>
      </c>
      <c r="W6" s="64" t="s">
        <v>142</v>
      </c>
      <c r="X6" s="64" t="s">
        <v>143</v>
      </c>
      <c r="Y6" s="64" t="s">
        <v>144</v>
      </c>
      <c r="Z6" s="64" t="s">
        <v>145</v>
      </c>
      <c r="AA6" s="64" t="s">
        <v>102</v>
      </c>
      <c r="AB6" s="64" t="s">
        <v>19</v>
      </c>
      <c r="AC6" s="63" t="s">
        <v>103</v>
      </c>
      <c r="AD6" s="63" t="s">
        <v>136</v>
      </c>
      <c r="AE6" s="64"/>
      <c r="AF6" s="85"/>
      <c r="AG6" s="86"/>
      <c r="AH6" s="65" t="s">
        <v>102</v>
      </c>
      <c r="AI6" s="63"/>
      <c r="AJ6" s="87"/>
      <c r="AK6" s="63"/>
      <c r="AL6" s="63"/>
      <c r="AM6" s="64" t="s">
        <v>137</v>
      </c>
      <c r="AN6" s="64" t="s">
        <v>138</v>
      </c>
      <c r="AO6" s="64" t="s">
        <v>139</v>
      </c>
      <c r="AP6" s="64" t="s">
        <v>140</v>
      </c>
      <c r="AQ6" s="64" t="s">
        <v>141</v>
      </c>
      <c r="AR6" s="64" t="s">
        <v>142</v>
      </c>
      <c r="AS6" s="64" t="s">
        <v>143</v>
      </c>
      <c r="AT6" s="64" t="s">
        <v>144</v>
      </c>
      <c r="AU6" s="64" t="s">
        <v>145</v>
      </c>
      <c r="AV6" s="64" t="s">
        <v>102</v>
      </c>
      <c r="AW6" s="64" t="s">
        <v>19</v>
      </c>
      <c r="AX6" s="63" t="s">
        <v>103</v>
      </c>
      <c r="AY6" s="63"/>
      <c r="AZ6" s="202"/>
      <c r="BA6" s="148"/>
      <c r="XDW6" s="107"/>
      <c r="XDX6" s="107"/>
      <c r="XDY6" s="107"/>
      <c r="XDZ6" s="107"/>
      <c r="XEA6" s="107"/>
      <c r="XEB6" s="107"/>
      <c r="XEC6" s="107"/>
      <c r="XED6" s="107"/>
    </row>
    <row r="7" s="3" customFormat="1" ht="25" customHeight="1" spans="1:16384">
      <c r="A7" s="151" t="s">
        <v>3</v>
      </c>
      <c r="B7" s="152"/>
      <c r="C7" s="153"/>
      <c r="D7" s="24"/>
      <c r="E7" s="25" t="s">
        <v>146</v>
      </c>
      <c r="F7" s="24"/>
      <c r="G7" s="24"/>
      <c r="H7" s="24">
        <v>4750000</v>
      </c>
      <c r="I7" s="24">
        <v>2290000</v>
      </c>
      <c r="J7" s="66" t="s">
        <v>25</v>
      </c>
      <c r="K7" s="66">
        <f>K14+K13+K10+K9+K8+K12</f>
        <v>2243909</v>
      </c>
      <c r="L7" s="66">
        <v>2295498</v>
      </c>
      <c r="M7" s="66">
        <f>K7-L7</f>
        <v>-51589</v>
      </c>
      <c r="N7" s="67">
        <f>K7/L7-1</f>
        <v>-0.0224739903933699</v>
      </c>
      <c r="O7" s="66">
        <f>I7-K7</f>
        <v>46091</v>
      </c>
      <c r="P7" s="67">
        <f>K7/I7</f>
        <v>0.979872925764192</v>
      </c>
      <c r="Q7" s="67">
        <f>K7/H7</f>
        <v>0.472401894736842</v>
      </c>
      <c r="R7" s="66">
        <f>R14+R13+R10+R9+R8+R12</f>
        <v>260486</v>
      </c>
      <c r="S7" s="66">
        <f>S14+S13+S10+S9+S8+S12</f>
        <v>279314</v>
      </c>
      <c r="T7" s="66">
        <f t="shared" ref="T7:Z7" si="0">T14+T13+T10+T9+T8+T12</f>
        <v>292830</v>
      </c>
      <c r="U7" s="68"/>
      <c r="V7" s="68"/>
      <c r="W7" s="68"/>
      <c r="X7" s="66">
        <f t="shared" si="0"/>
        <v>3076539</v>
      </c>
      <c r="Y7" s="66">
        <f t="shared" si="0"/>
        <v>3000000</v>
      </c>
      <c r="Z7" s="66">
        <f t="shared" si="0"/>
        <v>2960173</v>
      </c>
      <c r="AA7" s="68">
        <v>2925187</v>
      </c>
      <c r="AB7" s="64">
        <f>Y7-AA7</f>
        <v>74813</v>
      </c>
      <c r="AC7" s="75">
        <f>Y7/AA7-1</f>
        <v>0.0255754589364714</v>
      </c>
      <c r="AD7" s="67">
        <f>Y7/H7</f>
        <v>0.631578947368421</v>
      </c>
      <c r="AE7" s="68">
        <f>K7-I7</f>
        <v>-46091</v>
      </c>
      <c r="AF7" s="24">
        <v>100000</v>
      </c>
      <c r="AG7" s="24">
        <v>42000</v>
      </c>
      <c r="AH7" s="91">
        <v>40049</v>
      </c>
      <c r="AI7" s="66" t="s">
        <v>25</v>
      </c>
      <c r="AJ7" s="66">
        <f t="shared" ref="AJ7:AO7" si="1">AJ14+AJ13+AJ10+AJ9+AJ8+AJ12</f>
        <v>42089</v>
      </c>
      <c r="AK7" s="67">
        <f>(AJ7-AH7)/ABS(AH7)</f>
        <v>0.0509376014382382</v>
      </c>
      <c r="AL7" s="67">
        <f>AJ7/AG7</f>
        <v>1.00211904761905</v>
      </c>
      <c r="AM7" s="66">
        <f t="shared" si="1"/>
        <v>5697</v>
      </c>
      <c r="AN7" s="66">
        <f t="shared" si="1"/>
        <v>6708</v>
      </c>
      <c r="AO7" s="66">
        <f t="shared" si="1"/>
        <v>1599</v>
      </c>
      <c r="AP7" s="68"/>
      <c r="AQ7" s="68"/>
      <c r="AR7" s="68"/>
      <c r="AS7" s="66">
        <f>AS14+AS13+AS10+AS9+AS8+AS12</f>
        <v>56250</v>
      </c>
      <c r="AT7" s="66">
        <f>AT14+AT13+AT10+AT9+AT8+AT12</f>
        <v>52000</v>
      </c>
      <c r="AU7" s="66">
        <f>AU14+AU13+AU10+AU9+AU8+AU12</f>
        <v>50664</v>
      </c>
      <c r="AV7" s="68">
        <v>49270</v>
      </c>
      <c r="AW7" s="68">
        <f>AT7-AV7</f>
        <v>2730</v>
      </c>
      <c r="AX7" s="75">
        <f>AT7/AV7-1</f>
        <v>0.0554089709762533</v>
      </c>
      <c r="AY7" s="67">
        <f>AT7/AF7</f>
        <v>0.52</v>
      </c>
      <c r="AZ7" s="202"/>
      <c r="BA7" s="148"/>
      <c r="BB7" s="2"/>
      <c r="BC7" s="2"/>
      <c r="BD7" s="2">
        <f>AS8+AS10+AS12+AS13+AS14</f>
        <v>56250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XDW7" s="107"/>
      <c r="XDX7" s="107"/>
      <c r="XDY7" s="107"/>
      <c r="XDZ7" s="107"/>
      <c r="XEA7" s="107"/>
      <c r="XEB7" s="107"/>
      <c r="XEC7" s="107"/>
      <c r="XED7" s="107"/>
      <c r="XEE7" s="107"/>
      <c r="XEF7" s="107"/>
      <c r="XEG7" s="107"/>
      <c r="XEH7" s="107"/>
      <c r="XEI7" s="107"/>
      <c r="XEJ7" s="107"/>
      <c r="XEK7" s="107"/>
      <c r="XEL7" s="107"/>
      <c r="XEM7" s="107"/>
      <c r="XEN7" s="107"/>
      <c r="XEO7" s="107"/>
      <c r="XEP7" s="107"/>
      <c r="XEQ7" s="107"/>
      <c r="XER7" s="107"/>
      <c r="XES7" s="107"/>
      <c r="XET7" s="107"/>
      <c r="XEU7" s="107"/>
      <c r="XEV7" s="107"/>
      <c r="XEW7" s="107"/>
      <c r="XEX7" s="107"/>
      <c r="XEY7" s="107"/>
      <c r="XEZ7" s="107"/>
      <c r="XFA7" s="107"/>
      <c r="XFB7" s="107"/>
      <c r="XFC7" s="107"/>
      <c r="XFD7" s="107"/>
    </row>
    <row r="8" s="4" customFormat="1" ht="25" hidden="1" customHeight="1" outlineLevel="1" spans="1:53">
      <c r="A8" s="154"/>
      <c r="B8" s="155"/>
      <c r="C8" s="156" t="s">
        <v>147</v>
      </c>
      <c r="D8" s="27"/>
      <c r="E8" s="28"/>
      <c r="F8" s="29"/>
      <c r="G8" s="29"/>
      <c r="H8" s="29"/>
      <c r="I8" s="29"/>
      <c r="J8" s="69"/>
      <c r="K8" s="70"/>
      <c r="L8" s="71"/>
      <c r="M8" s="71"/>
      <c r="N8" s="72"/>
      <c r="O8" s="72"/>
      <c r="P8" s="72"/>
      <c r="Q8" s="72"/>
      <c r="R8" s="185"/>
      <c r="S8" s="186"/>
      <c r="T8" s="186"/>
      <c r="U8" s="186"/>
      <c r="V8" s="186"/>
      <c r="W8" s="186"/>
      <c r="X8" s="187"/>
      <c r="Y8" s="186">
        <f>-210000-7581-19</f>
        <v>-217600</v>
      </c>
      <c r="Z8" s="191">
        <v>-158000</v>
      </c>
      <c r="AA8" s="186"/>
      <c r="AB8" s="186"/>
      <c r="AC8" s="72"/>
      <c r="AD8" s="72"/>
      <c r="AE8" s="72"/>
      <c r="AF8" s="29"/>
      <c r="AG8" s="29"/>
      <c r="AH8" s="93"/>
      <c r="AI8" s="29"/>
      <c r="AJ8" s="29">
        <v>-3058</v>
      </c>
      <c r="AK8" s="29"/>
      <c r="AL8" s="29"/>
      <c r="AM8" s="71"/>
      <c r="AN8" s="71"/>
      <c r="AO8" s="71"/>
      <c r="AP8" s="71"/>
      <c r="AQ8" s="71"/>
      <c r="AR8" s="71"/>
      <c r="AS8" s="71">
        <f>AJ8</f>
        <v>-3058</v>
      </c>
      <c r="AT8" s="197">
        <f>-11250-14-300-1000</f>
        <v>-12564</v>
      </c>
      <c r="AU8" s="198">
        <v>-11250</v>
      </c>
      <c r="AV8" s="71">
        <f>(AV14+AV13+AV12-AV7)*-1</f>
        <v>-22559</v>
      </c>
      <c r="AW8" s="71"/>
      <c r="AX8" s="29"/>
      <c r="AY8" s="29"/>
      <c r="AZ8" s="94"/>
      <c r="BA8" s="203"/>
    </row>
    <row r="9" s="4" customFormat="1" ht="25" hidden="1" customHeight="1" outlineLevel="1" spans="1:53">
      <c r="A9" s="154"/>
      <c r="B9" s="155"/>
      <c r="C9" s="156" t="s">
        <v>148</v>
      </c>
      <c r="D9" s="27"/>
      <c r="E9" s="28"/>
      <c r="F9" s="29"/>
      <c r="G9" s="29"/>
      <c r="H9" s="29"/>
      <c r="I9" s="29"/>
      <c r="J9" s="69"/>
      <c r="K9" s="72"/>
      <c r="L9" s="71"/>
      <c r="M9" s="71"/>
      <c r="N9" s="72"/>
      <c r="O9" s="72"/>
      <c r="P9" s="72"/>
      <c r="Q9" s="72"/>
      <c r="R9" s="186"/>
      <c r="S9" s="186"/>
      <c r="T9" s="186"/>
      <c r="U9" s="186"/>
      <c r="V9" s="186"/>
      <c r="W9" s="186"/>
      <c r="X9" s="186"/>
      <c r="Y9" s="186"/>
      <c r="Z9" s="191"/>
      <c r="AA9" s="186"/>
      <c r="AB9" s="186"/>
      <c r="AC9" s="72"/>
      <c r="AD9" s="72"/>
      <c r="AE9" s="72"/>
      <c r="AF9" s="29"/>
      <c r="AG9" s="29"/>
      <c r="AH9" s="93"/>
      <c r="AI9" s="29"/>
      <c r="AJ9" s="29"/>
      <c r="AK9" s="29"/>
      <c r="AL9" s="29"/>
      <c r="AM9" s="71"/>
      <c r="AN9" s="71"/>
      <c r="AO9" s="71"/>
      <c r="AP9" s="71"/>
      <c r="AQ9" s="71"/>
      <c r="AR9" s="71"/>
      <c r="AS9" s="71"/>
      <c r="AT9" s="71"/>
      <c r="AU9" s="198"/>
      <c r="AV9" s="71"/>
      <c r="AW9" s="71"/>
      <c r="AX9" s="29"/>
      <c r="AY9" s="29"/>
      <c r="AZ9" s="94"/>
      <c r="BA9" s="203"/>
    </row>
    <row r="10" s="4" customFormat="1" ht="25" hidden="1" customHeight="1" outlineLevel="1" spans="1:57">
      <c r="A10" s="157"/>
      <c r="B10" s="141"/>
      <c r="C10" s="158" t="s">
        <v>149</v>
      </c>
      <c r="D10" s="31"/>
      <c r="E10" s="32"/>
      <c r="F10" s="33"/>
      <c r="G10" s="33"/>
      <c r="H10" s="33"/>
      <c r="I10" s="33"/>
      <c r="J10" s="73"/>
      <c r="K10" s="43"/>
      <c r="L10" s="46"/>
      <c r="M10" s="46"/>
      <c r="N10" s="43"/>
      <c r="O10" s="43"/>
      <c r="P10" s="43"/>
      <c r="Q10" s="43"/>
      <c r="R10" s="62"/>
      <c r="S10" s="62"/>
      <c r="T10" s="62"/>
      <c r="U10" s="62"/>
      <c r="V10" s="62"/>
      <c r="W10" s="62"/>
      <c r="X10" s="62"/>
      <c r="Y10" s="62"/>
      <c r="Z10" s="192"/>
      <c r="AA10" s="62"/>
      <c r="AB10" s="62"/>
      <c r="AC10" s="43"/>
      <c r="AD10" s="43"/>
      <c r="AE10" s="43"/>
      <c r="AF10" s="33"/>
      <c r="AG10" s="33"/>
      <c r="AH10" s="95"/>
      <c r="AI10" s="33"/>
      <c r="AJ10" s="33">
        <v>5150</v>
      </c>
      <c r="AK10" s="33"/>
      <c r="AL10" s="33"/>
      <c r="AM10" s="46"/>
      <c r="AN10" s="46"/>
      <c r="AO10" s="46"/>
      <c r="AP10" s="46"/>
      <c r="AQ10" s="46"/>
      <c r="AR10" s="46"/>
      <c r="AS10" s="33">
        <v>5150</v>
      </c>
      <c r="AT10" s="33">
        <v>5150</v>
      </c>
      <c r="AU10" s="33">
        <v>5150</v>
      </c>
      <c r="AV10" s="46"/>
      <c r="AW10" s="46"/>
      <c r="AX10" s="33"/>
      <c r="AY10" s="33"/>
      <c r="AZ10" s="96"/>
      <c r="BA10" s="143"/>
      <c r="BE10" s="100"/>
    </row>
    <row r="11" s="4" customFormat="1" ht="25" hidden="1" customHeight="1" outlineLevel="1" spans="1:55">
      <c r="A11" s="157"/>
      <c r="B11" s="141"/>
      <c r="C11" s="158" t="s">
        <v>150</v>
      </c>
      <c r="D11" s="31"/>
      <c r="E11" s="32"/>
      <c r="F11" s="33"/>
      <c r="G11" s="33"/>
      <c r="H11" s="33"/>
      <c r="I11" s="33"/>
      <c r="J11" s="73"/>
      <c r="K11" s="43">
        <v>18949</v>
      </c>
      <c r="L11" s="46"/>
      <c r="M11" s="46"/>
      <c r="N11" s="43"/>
      <c r="O11" s="43"/>
      <c r="P11" s="43"/>
      <c r="Q11" s="43"/>
      <c r="R11" s="62"/>
      <c r="S11" s="62"/>
      <c r="T11" s="62"/>
      <c r="U11" s="62"/>
      <c r="V11" s="62"/>
      <c r="W11" s="62"/>
      <c r="X11" s="62">
        <v>18949</v>
      </c>
      <c r="Y11" s="62">
        <f>X11</f>
        <v>18949</v>
      </c>
      <c r="Z11" s="192">
        <f>Y11</f>
        <v>18949</v>
      </c>
      <c r="AA11" s="62"/>
      <c r="AB11" s="62"/>
      <c r="AC11" s="43"/>
      <c r="AD11" s="43"/>
      <c r="AE11" s="43"/>
      <c r="AF11" s="33"/>
      <c r="AG11" s="33"/>
      <c r="AH11" s="95"/>
      <c r="AI11" s="33"/>
      <c r="AJ11" s="33">
        <v>1668</v>
      </c>
      <c r="AK11" s="33"/>
      <c r="AL11" s="33"/>
      <c r="AM11" s="46"/>
      <c r="AN11" s="46"/>
      <c r="AO11" s="46"/>
      <c r="AP11" s="46"/>
      <c r="AQ11" s="46"/>
      <c r="AR11" s="46"/>
      <c r="AS11" s="33">
        <v>1668</v>
      </c>
      <c r="AT11" s="33">
        <v>1668</v>
      </c>
      <c r="AU11" s="33">
        <v>1668</v>
      </c>
      <c r="AV11" s="46"/>
      <c r="AW11" s="46"/>
      <c r="AX11" s="33"/>
      <c r="AY11" s="33"/>
      <c r="AZ11" s="96"/>
      <c r="BA11" s="143"/>
      <c r="BC11" s="100"/>
    </row>
    <row r="12" s="4" customFormat="1" ht="25" hidden="1" customHeight="1" outlineLevel="1" spans="1:53">
      <c r="A12" s="157"/>
      <c r="B12" s="141"/>
      <c r="C12" s="158" t="s">
        <v>151</v>
      </c>
      <c r="D12" s="31"/>
      <c r="E12" s="32"/>
      <c r="F12" s="33"/>
      <c r="G12" s="33"/>
      <c r="H12" s="33"/>
      <c r="I12" s="33"/>
      <c r="J12" s="73">
        <f>L14</f>
        <v>2273020</v>
      </c>
      <c r="K12" s="43"/>
      <c r="L12" s="46"/>
      <c r="M12" s="46"/>
      <c r="N12" s="43"/>
      <c r="O12" s="43"/>
      <c r="P12" s="43"/>
      <c r="Q12" s="43"/>
      <c r="R12" s="62"/>
      <c r="S12" s="62"/>
      <c r="T12" s="62"/>
      <c r="U12" s="62"/>
      <c r="V12" s="62"/>
      <c r="W12" s="62"/>
      <c r="X12" s="62"/>
      <c r="Y12" s="62"/>
      <c r="Z12" s="192"/>
      <c r="AA12" s="62"/>
      <c r="AB12" s="62"/>
      <c r="AC12" s="43"/>
      <c r="AD12" s="43"/>
      <c r="AE12" s="43"/>
      <c r="AF12" s="33"/>
      <c r="AG12" s="33"/>
      <c r="AH12" s="95"/>
      <c r="AI12" s="33"/>
      <c r="AJ12" s="33">
        <f>-127-15-443</f>
        <v>-585</v>
      </c>
      <c r="AK12" s="33"/>
      <c r="AL12" s="33"/>
      <c r="AM12" s="46">
        <f>-64-20-45</f>
        <v>-129</v>
      </c>
      <c r="AN12" s="46">
        <f>-64-20-45</f>
        <v>-129</v>
      </c>
      <c r="AO12" s="46">
        <f>-64-20-45</f>
        <v>-129</v>
      </c>
      <c r="AP12" s="46"/>
      <c r="AQ12" s="46"/>
      <c r="AR12" s="46"/>
      <c r="AS12" s="61">
        <f>AJ12+AM12+AN12+AO12</f>
        <v>-972</v>
      </c>
      <c r="AT12" s="61">
        <v>-986</v>
      </c>
      <c r="AU12" s="61">
        <v>-986</v>
      </c>
      <c r="AV12" s="46">
        <f>-37.47-360+551</f>
        <v>153.53</v>
      </c>
      <c r="AW12" s="46"/>
      <c r="AX12" s="33"/>
      <c r="AY12" s="33"/>
      <c r="AZ12" s="96"/>
      <c r="BA12" s="143"/>
    </row>
    <row r="13" s="1" customFormat="1" ht="25" hidden="1" customHeight="1" outlineLevel="1" spans="1:16384">
      <c r="A13" s="157" t="s">
        <v>152</v>
      </c>
      <c r="B13" s="141"/>
      <c r="C13" s="113"/>
      <c r="D13" s="33"/>
      <c r="E13" s="33"/>
      <c r="F13" s="33"/>
      <c r="G13" s="33"/>
      <c r="H13" s="33">
        <v>37700</v>
      </c>
      <c r="I13" s="33">
        <v>19000</v>
      </c>
      <c r="J13" s="73" t="s">
        <v>25</v>
      </c>
      <c r="K13" s="43">
        <v>18894</v>
      </c>
      <c r="L13" s="61">
        <v>18279</v>
      </c>
      <c r="M13" s="61"/>
      <c r="N13" s="74">
        <f>K13/L13-1</f>
        <v>0.0336451665846054</v>
      </c>
      <c r="O13" s="74"/>
      <c r="P13" s="43"/>
      <c r="Q13" s="43"/>
      <c r="R13" s="62">
        <v>3025</v>
      </c>
      <c r="S13" s="62">
        <v>2655</v>
      </c>
      <c r="T13" s="62">
        <v>3100</v>
      </c>
      <c r="U13" s="62"/>
      <c r="V13" s="62"/>
      <c r="W13" s="62"/>
      <c r="X13" s="61">
        <f>K13+R13+S13+T13</f>
        <v>27674</v>
      </c>
      <c r="Y13" s="61">
        <v>27600</v>
      </c>
      <c r="Z13" s="193">
        <f>Y13</f>
        <v>27600</v>
      </c>
      <c r="AA13" s="62">
        <v>27175</v>
      </c>
      <c r="AB13" s="62"/>
      <c r="AC13" s="122">
        <f>X13/AA13-1</f>
        <v>0.0183624655013799</v>
      </c>
      <c r="AD13" s="43"/>
      <c r="AE13" s="43"/>
      <c r="AF13" s="46">
        <v>-31000</v>
      </c>
      <c r="AG13" s="46"/>
      <c r="AH13" s="46">
        <v>-17033</v>
      </c>
      <c r="AI13" s="33" t="s">
        <v>25</v>
      </c>
      <c r="AJ13" s="76">
        <f>-10242</f>
        <v>-10242</v>
      </c>
      <c r="AK13" s="74">
        <f>(AJ13-AH13)/ABS(AH13)</f>
        <v>0.398696647683908</v>
      </c>
      <c r="AL13" s="33"/>
      <c r="AM13" s="46">
        <v>-891</v>
      </c>
      <c r="AN13" s="46">
        <v>-980</v>
      </c>
      <c r="AO13" s="76">
        <v>-4758</v>
      </c>
      <c r="AP13" s="46"/>
      <c r="AQ13" s="46"/>
      <c r="AR13" s="46"/>
      <c r="AS13" s="61">
        <f>AJ13+AM13+AN13+AO13</f>
        <v>-16871</v>
      </c>
      <c r="AT13" s="61">
        <v>-17000</v>
      </c>
      <c r="AU13" s="193">
        <f>AT13</f>
        <v>-17000</v>
      </c>
      <c r="AV13" s="77">
        <f>9486-32427</f>
        <v>-22941</v>
      </c>
      <c r="AW13" s="204">
        <f>AT13-AV13</f>
        <v>5941</v>
      </c>
      <c r="AX13" s="122">
        <f>AS13/AV13-1</f>
        <v>-0.26459177891112</v>
      </c>
      <c r="AY13" s="33"/>
      <c r="AZ13" s="96"/>
      <c r="BA13" s="143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="5" customFormat="1" ht="25" hidden="1" customHeight="1" collapsed="1" spans="1:16359">
      <c r="A14" s="159" t="s">
        <v>125</v>
      </c>
      <c r="B14" s="160"/>
      <c r="C14" s="161"/>
      <c r="D14" s="36" t="s">
        <v>153</v>
      </c>
      <c r="E14" s="37"/>
      <c r="F14" s="37"/>
      <c r="G14" s="38" t="s">
        <v>154</v>
      </c>
      <c r="H14" s="39">
        <f>SUMIF($G$16:$G$84,$G$14,H$16:H$84)</f>
        <v>5127000</v>
      </c>
      <c r="I14" s="39">
        <f>SUMIF($G$16:$G$84,$G$14,I$16:I$84)</f>
        <v>2300338</v>
      </c>
      <c r="J14" s="39" t="s">
        <v>25</v>
      </c>
      <c r="K14" s="39">
        <f>SUMIF($G$16:$G$84,$G$14,K$16:K$84)-K11</f>
        <v>2225015</v>
      </c>
      <c r="L14" s="39">
        <f>SUMIF($G$16:$G$84,$G$14,L$16:L$84)</f>
        <v>2273020</v>
      </c>
      <c r="M14" s="66">
        <f t="shared" ref="M14:M27" si="2">K14-L14</f>
        <v>-48005</v>
      </c>
      <c r="N14" s="75">
        <f>K14/L14-1</f>
        <v>-0.0211194798110004</v>
      </c>
      <c r="O14" s="66">
        <f t="shared" ref="O14:O26" si="3">I14-K14</f>
        <v>75323</v>
      </c>
      <c r="P14" s="75">
        <f>K14/I14</f>
        <v>0.967255681556363</v>
      </c>
      <c r="Q14" s="67">
        <f t="shared" ref="Q14:Q32" si="4">K14/H14</f>
        <v>0.433979910278916</v>
      </c>
      <c r="R14" s="39">
        <f>SUMIF($G$16:$G$84,$G$14,R$16:R$84)</f>
        <v>257461</v>
      </c>
      <c r="S14" s="39">
        <f>SUMIF($G$16:$G$84,$G$14,S$16:S$84)</f>
        <v>276659</v>
      </c>
      <c r="T14" s="39">
        <f>SUMIF($G$16:$G$84,$G$14,T$16:T$84)</f>
        <v>289730</v>
      </c>
      <c r="U14" s="39">
        <f>SUM(U15:U26)-U16-U17-U20-U21</f>
        <v>442630</v>
      </c>
      <c r="V14" s="81"/>
      <c r="W14" s="81"/>
      <c r="X14" s="39">
        <f>SUMIF($G$16:$G$84,$G$14,X$16:X$84)-X11</f>
        <v>3048865</v>
      </c>
      <c r="Y14" s="39">
        <f>SUMIF($G$16:$G$84,$G$14,Y$16:Y$84)-Y11+19</f>
        <v>3190000</v>
      </c>
      <c r="Z14" s="39">
        <f>SUMIF($G$16:$G$84,$G$14,Z$16:Z$84)-Z11</f>
        <v>3090573</v>
      </c>
      <c r="AA14" s="39">
        <f>SUMIF($G$16:$G$84,$G$14,AA$16:AA$84)</f>
        <v>3129060</v>
      </c>
      <c r="AB14" s="64">
        <f t="shared" ref="AB14:AB31" si="5">Y14-AA14</f>
        <v>60940</v>
      </c>
      <c r="AC14" s="75">
        <f>Y14/AA14-1</f>
        <v>0.0194754974337341</v>
      </c>
      <c r="AD14" s="75">
        <f>Y14/H14</f>
        <v>0.622196216110786</v>
      </c>
      <c r="AE14" s="39">
        <f>AE15+AE28+AE38+AE49+AE57+AE59+AE68</f>
        <v>-111160.8</v>
      </c>
      <c r="AF14" s="39">
        <f>SUMIF($G$16:$G$84,$G$14,AF$16:AF$84)</f>
        <v>167930</v>
      </c>
      <c r="AG14" s="39">
        <f>SUMIF($G$16:$G$84,$G$14,AG$16:AG$84)</f>
        <v>55506</v>
      </c>
      <c r="AH14" s="39">
        <f>SUMIF($G$16:$G$84,$G$14,AH$16:AH$84)</f>
        <v>60782</v>
      </c>
      <c r="AI14" s="39" t="s">
        <v>25</v>
      </c>
      <c r="AJ14" s="39">
        <f>SUMIF($G$16:$G$84,$G$14,AJ$16:AJ$84)-AJ11</f>
        <v>50824</v>
      </c>
      <c r="AK14" s="75">
        <f>(AJ14-AH14)/ABS(AH14)</f>
        <v>-0.163831397453193</v>
      </c>
      <c r="AL14" s="75">
        <f>AJ14/AG14</f>
        <v>0.915648758692754</v>
      </c>
      <c r="AM14" s="39">
        <f>SUMIF($G$16:$G$84,$G$14,AM$16:AM$84)-AM11</f>
        <v>6717</v>
      </c>
      <c r="AN14" s="39">
        <f>SUMIF($G$16:$G$84,$G$14,AN$16:AN$84)</f>
        <v>7817</v>
      </c>
      <c r="AO14" s="39">
        <f>SUMIF($G$16:$G$84,$G$14,AO$16:AO$84)-AO11</f>
        <v>6486</v>
      </c>
      <c r="AP14" s="39">
        <f>SUMIF($G$16:$G$84,$G$14,AP$16:AP$84)</f>
        <v>59209</v>
      </c>
      <c r="AQ14" s="39">
        <f>SUMIF($G$16:$G$84,$G$14,AQ$16:AQ$84)</f>
        <v>24333.500555</v>
      </c>
      <c r="AR14" s="39">
        <f>SUMIF($G$16:$G$84,$G$14,AR$16:AR$84)</f>
        <v>0</v>
      </c>
      <c r="AS14" s="39">
        <f>SUMIF($G$16:$G$84,$G$14,AS$16:AS$84)-AS11</f>
        <v>72001</v>
      </c>
      <c r="AT14" s="39">
        <f>SUMIF($G$16:$G$84,$G$14,AT$16:AT$84)-AT11-12</f>
        <v>77400</v>
      </c>
      <c r="AU14" s="39">
        <f>SUMIF($G$16:$G$84,$G$14,AU$16:AU$84)-AU11</f>
        <v>74750</v>
      </c>
      <c r="AV14" s="39">
        <f>SUMIF($G$16:$G$84,$G$14,AV$16:AV$84)-AV11</f>
        <v>94616.47</v>
      </c>
      <c r="AW14" s="68">
        <f>AT14-AV14</f>
        <v>-17216.47</v>
      </c>
      <c r="AX14" s="75">
        <f t="shared" ref="AX14:AX36" si="6">(AT14-AV14)/ABS(AV14)</f>
        <v>-0.181960603687709</v>
      </c>
      <c r="AY14" s="67">
        <f>AT14/AF14</f>
        <v>0.46090633001846</v>
      </c>
      <c r="AZ14" s="92"/>
      <c r="BA14" s="205"/>
      <c r="XEE14" s="109"/>
    </row>
    <row r="15" s="5" customFormat="1" ht="25" hidden="1" customHeight="1" outlineLevel="1" spans="1:16359">
      <c r="A15" s="162" t="s">
        <v>155</v>
      </c>
      <c r="B15" s="163"/>
      <c r="C15" s="161"/>
      <c r="D15" s="36" t="s">
        <v>156</v>
      </c>
      <c r="E15" s="37"/>
      <c r="F15" s="38"/>
      <c r="G15" s="38"/>
      <c r="H15" s="39">
        <f>SUMIF($E$16:$E$27,$E$16,H$16:H$27)</f>
        <v>825300</v>
      </c>
      <c r="I15" s="39">
        <f>SUMIF($E$16:$E$27,$E$16,I$16:I$27)</f>
        <v>318500</v>
      </c>
      <c r="J15" s="39">
        <f>SUMIF($E$16:$E$27,$E$16,J$16:J$27)</f>
        <v>245000</v>
      </c>
      <c r="K15" s="39">
        <f>SUMIF($E$16:$E$27,$E$16,K$16:K$27)</f>
        <v>256458</v>
      </c>
      <c r="L15" s="39">
        <f>SUMIF($E$16:$E$27,$E$16,L$16:L$27)</f>
        <v>414325</v>
      </c>
      <c r="M15" s="66">
        <f t="shared" si="2"/>
        <v>-157867</v>
      </c>
      <c r="N15" s="75">
        <f>K15/L15-1</f>
        <v>-0.381022144451819</v>
      </c>
      <c r="O15" s="66">
        <f t="shared" si="3"/>
        <v>62042</v>
      </c>
      <c r="P15" s="75">
        <f t="shared" ref="P15:P20" si="7">K15/I15</f>
        <v>0.805205651491366</v>
      </c>
      <c r="Q15" s="67">
        <f t="shared" si="4"/>
        <v>0.310745183569611</v>
      </c>
      <c r="R15" s="39">
        <f>SUMIF($E$16:$E$27,$E$16,R$16:R$27)</f>
        <v>28355</v>
      </c>
      <c r="S15" s="39">
        <f>SUMIF($E$16:$E$27,$E$16,S$16:S$27)</f>
        <v>33735</v>
      </c>
      <c r="T15" s="39">
        <f>SUMIF($E$16:$E$27,$E$16,T$16:T$27)</f>
        <v>33685</v>
      </c>
      <c r="U15" s="39">
        <f>SUM(U16:U27)-U17-U18-U21-U22</f>
        <v>284813</v>
      </c>
      <c r="V15" s="81"/>
      <c r="W15" s="81"/>
      <c r="X15" s="39">
        <f>SUMIF($E$16:$E$27,$E$16,X$16:X$27)</f>
        <v>352233</v>
      </c>
      <c r="Y15" s="39">
        <f>SUMIF($E$16:$E$27,$E$16,Y$16:Y$27)</f>
        <v>419610</v>
      </c>
      <c r="Z15" s="39">
        <f>SUMIF($E$16:$E$27,$E$16,Z$16:Z$27)</f>
        <v>374910</v>
      </c>
      <c r="AA15" s="39">
        <f>SUMIF($E$16:$E$27,$E$16,AA$16:AA$27)</f>
        <v>570075</v>
      </c>
      <c r="AB15" s="64">
        <f t="shared" si="5"/>
        <v>-150465</v>
      </c>
      <c r="AC15" s="75">
        <f>Y15/AA15-1</f>
        <v>-0.263938955400605</v>
      </c>
      <c r="AD15" s="75">
        <f>Y15/H15</f>
        <v>0.508433296982915</v>
      </c>
      <c r="AE15" s="39">
        <f>AE16+AE19+AE20+AE23+AE24+AE25+AE26</f>
        <v>-42130</v>
      </c>
      <c r="AF15" s="39">
        <f>SUMIF($E$16:$E$27,$E$16,AF$16:AF$27)</f>
        <v>54400</v>
      </c>
      <c r="AG15" s="39">
        <f t="shared" ref="AF15:AH15" si="8">SUM(AG16:AG27)-AG17-AG18-AG21-AG22</f>
        <v>5220</v>
      </c>
      <c r="AH15" s="39">
        <f>SUMIF($E$16:$E$27,$E$16,AH$16:AH$27)</f>
        <v>23054</v>
      </c>
      <c r="AI15" s="39" t="s">
        <v>25</v>
      </c>
      <c r="AJ15" s="39">
        <f>SUMIF($E$16:$E$27,$E$16,AJ$16:AJ$27)</f>
        <v>2163</v>
      </c>
      <c r="AK15" s="75">
        <f>(AJ15-AH15)/ABS(AH15)</f>
        <v>-0.906176802290275</v>
      </c>
      <c r="AL15" s="75">
        <f>AJ15/AG15</f>
        <v>0.414367816091954</v>
      </c>
      <c r="AM15" s="39">
        <f>SUMIF($E$16:$E$27,$E$16,AM$16:AM$27)</f>
        <v>349</v>
      </c>
      <c r="AN15" s="39">
        <f t="shared" ref="AN15:AV15" si="9">SUMIF($E$16:$E$27,$E$16,AN$16:AN$27)</f>
        <v>1364</v>
      </c>
      <c r="AO15" s="39">
        <f t="shared" si="9"/>
        <v>-948</v>
      </c>
      <c r="AP15" s="39">
        <f t="shared" si="9"/>
        <v>2512</v>
      </c>
      <c r="AQ15" s="39">
        <f t="shared" si="9"/>
        <v>24333.500555</v>
      </c>
      <c r="AR15" s="39">
        <f t="shared" si="9"/>
        <v>0</v>
      </c>
      <c r="AS15" s="39">
        <f t="shared" si="9"/>
        <v>2928</v>
      </c>
      <c r="AT15" s="39">
        <f t="shared" si="9"/>
        <v>10500</v>
      </c>
      <c r="AU15" s="39">
        <f t="shared" si="9"/>
        <v>6243</v>
      </c>
      <c r="AV15" s="39">
        <f t="shared" si="9"/>
        <v>31769</v>
      </c>
      <c r="AW15" s="68">
        <f>AT15-AV15</f>
        <v>-21269</v>
      </c>
      <c r="AX15" s="75">
        <f t="shared" si="6"/>
        <v>-0.669489124618339</v>
      </c>
      <c r="AY15" s="67">
        <f>AT15/AF15</f>
        <v>0.193014705882353</v>
      </c>
      <c r="AZ15" s="92"/>
      <c r="BA15" s="205"/>
      <c r="XEE15" s="109"/>
    </row>
    <row r="16" s="1" customFormat="1" ht="25" customHeight="1" collapsed="1" spans="1:16384">
      <c r="A16" s="157"/>
      <c r="B16" s="141"/>
      <c r="C16" s="164">
        <v>1</v>
      </c>
      <c r="D16" s="45" t="s">
        <v>157</v>
      </c>
      <c r="E16" s="42" t="s">
        <v>158</v>
      </c>
      <c r="F16" s="51" t="s">
        <v>159</v>
      </c>
      <c r="G16" s="51" t="s">
        <v>154</v>
      </c>
      <c r="H16" s="51">
        <v>520000</v>
      </c>
      <c r="I16" s="52">
        <v>181000</v>
      </c>
      <c r="J16" s="51">
        <v>160000</v>
      </c>
      <c r="K16" s="76">
        <f>K18+K17</f>
        <v>136750</v>
      </c>
      <c r="L16" s="61">
        <v>271134</v>
      </c>
      <c r="M16" s="61">
        <f t="shared" si="2"/>
        <v>-134384</v>
      </c>
      <c r="N16" s="74">
        <f t="shared" ref="N16:N22" si="10">K16/L16-1</f>
        <v>-0.495636843774665</v>
      </c>
      <c r="O16" s="76">
        <f t="shared" si="3"/>
        <v>44250</v>
      </c>
      <c r="P16" s="74">
        <f t="shared" si="7"/>
        <v>0.755524861878453</v>
      </c>
      <c r="Q16" s="74">
        <f t="shared" si="4"/>
        <v>0.262980769230769</v>
      </c>
      <c r="R16" s="61">
        <v>13625</v>
      </c>
      <c r="S16" s="61">
        <v>16224</v>
      </c>
      <c r="T16" s="61">
        <v>11000</v>
      </c>
      <c r="U16" s="61">
        <f t="shared" ref="U16:U27" si="11">K16+R16</f>
        <v>150375</v>
      </c>
      <c r="V16" s="61">
        <v>300285.51407</v>
      </c>
      <c r="W16" s="61"/>
      <c r="X16" s="61">
        <f>K16+R16+S16+T16</f>
        <v>177599</v>
      </c>
      <c r="Y16" s="61">
        <f>Y17+Y18</f>
        <v>230000</v>
      </c>
      <c r="Z16" s="189">
        <f>Z17+Z18</f>
        <v>200000</v>
      </c>
      <c r="AA16" s="61">
        <v>379532</v>
      </c>
      <c r="AB16" s="61">
        <f t="shared" si="5"/>
        <v>-149532</v>
      </c>
      <c r="AC16" s="122">
        <f>Y16/AA16-1</f>
        <v>-0.393990493555221</v>
      </c>
      <c r="AD16" s="74">
        <f>Y16/H16</f>
        <v>0.442307692307692</v>
      </c>
      <c r="AE16" s="61">
        <f>K16-J16</f>
        <v>-23250</v>
      </c>
      <c r="AF16" s="52">
        <v>25000</v>
      </c>
      <c r="AG16" s="52">
        <v>-5000</v>
      </c>
      <c r="AH16" s="52">
        <v>10817</v>
      </c>
      <c r="AI16" s="52">
        <v>-7100</v>
      </c>
      <c r="AJ16" s="52">
        <v>-7093</v>
      </c>
      <c r="AK16" s="74">
        <f>(AJ16-AH16)/ABS(AH16)</f>
        <v>-1.6557270962374</v>
      </c>
      <c r="AL16" s="74" t="s">
        <v>25</v>
      </c>
      <c r="AM16" s="61">
        <v>-400</v>
      </c>
      <c r="AN16" s="61">
        <v>270</v>
      </c>
      <c r="AO16" s="61">
        <v>-2871</v>
      </c>
      <c r="AP16" s="61">
        <f t="shared" ref="AP16:AP27" si="12">AJ16+AM16</f>
        <v>-7493</v>
      </c>
      <c r="AQ16" s="61">
        <v>11704.063309</v>
      </c>
      <c r="AR16" s="61"/>
      <c r="AS16" s="61">
        <f>AJ16+AM16+AN16+AO16</f>
        <v>-10094</v>
      </c>
      <c r="AT16" s="61">
        <v>-4000</v>
      </c>
      <c r="AU16" s="189">
        <v>-7000</v>
      </c>
      <c r="AV16" s="61">
        <v>12964</v>
      </c>
      <c r="AW16" s="206">
        <f>AT16-AV16</f>
        <v>-16964</v>
      </c>
      <c r="AX16" s="74">
        <f t="shared" si="6"/>
        <v>-1.30854674483184</v>
      </c>
      <c r="AY16" s="74" t="s">
        <v>25</v>
      </c>
      <c r="AZ16" s="207"/>
      <c r="BA16" s="208"/>
      <c r="BB16" s="209" t="s">
        <v>160</v>
      </c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HH16" s="101"/>
      <c r="HI16" s="101"/>
      <c r="HJ16" s="101"/>
      <c r="HK16" s="101"/>
      <c r="HL16" s="101"/>
      <c r="HM16" s="101"/>
      <c r="HN16" s="101"/>
      <c r="HO16" s="101"/>
      <c r="HP16" s="101"/>
      <c r="HQ16" s="101"/>
      <c r="HR16" s="101"/>
      <c r="HS16" s="101"/>
      <c r="HT16" s="101"/>
      <c r="HU16" s="101"/>
      <c r="HV16" s="101"/>
      <c r="HW16" s="101"/>
      <c r="HX16" s="101"/>
      <c r="HY16" s="101"/>
      <c r="HZ16" s="101"/>
      <c r="IA16" s="101"/>
      <c r="IB16" s="101"/>
      <c r="IC16" s="101"/>
      <c r="ID16" s="101"/>
      <c r="IE16" s="101"/>
      <c r="IF16" s="101"/>
      <c r="IG16" s="101"/>
      <c r="IH16" s="101"/>
      <c r="II16" s="101"/>
      <c r="IJ16" s="101"/>
      <c r="IK16" s="101"/>
      <c r="IL16" s="101"/>
      <c r="XDW16" s="101"/>
      <c r="XDX16" s="101"/>
      <c r="XDY16" s="101"/>
      <c r="XDZ16" s="101"/>
      <c r="XEA16" s="101"/>
      <c r="XEB16" s="101"/>
      <c r="XEC16" s="101"/>
      <c r="XED16" s="101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  <c r="XFA16" s="13"/>
      <c r="XFB16" s="13"/>
      <c r="XFC16" s="13"/>
      <c r="XFD16" s="13"/>
    </row>
    <row r="17" s="1" customFormat="1" ht="25" hidden="1" customHeight="1" outlineLevel="1" spans="1:16384">
      <c r="A17" s="157"/>
      <c r="B17" s="141"/>
      <c r="C17" s="165"/>
      <c r="D17" s="45" t="s">
        <v>161</v>
      </c>
      <c r="E17" s="52"/>
      <c r="F17" s="51"/>
      <c r="G17" s="51"/>
      <c r="H17" s="51">
        <v>440000</v>
      </c>
      <c r="I17" s="52">
        <v>131000</v>
      </c>
      <c r="J17" s="51">
        <v>131000</v>
      </c>
      <c r="K17" s="76">
        <v>97420</v>
      </c>
      <c r="L17" s="76">
        <f>L16-L18</f>
        <v>210376</v>
      </c>
      <c r="M17" s="61">
        <f t="shared" si="2"/>
        <v>-112956</v>
      </c>
      <c r="N17" s="74">
        <f t="shared" si="10"/>
        <v>-0.536924363995893</v>
      </c>
      <c r="O17" s="76">
        <f>J17-K17</f>
        <v>33580</v>
      </c>
      <c r="P17" s="74">
        <f t="shared" si="7"/>
        <v>0.743664122137405</v>
      </c>
      <c r="Q17" s="74">
        <f t="shared" si="4"/>
        <v>0.221409090909091</v>
      </c>
      <c r="R17" s="76">
        <f>R16-R18</f>
        <v>8625</v>
      </c>
      <c r="S17" s="76">
        <f>S16-S18</f>
        <v>11224</v>
      </c>
      <c r="T17" s="76">
        <f>T16-T18</f>
        <v>6000</v>
      </c>
      <c r="U17" s="61">
        <f t="shared" si="11"/>
        <v>106045</v>
      </c>
      <c r="V17" s="61"/>
      <c r="W17" s="61"/>
      <c r="X17" s="61">
        <f t="shared" ref="X17:X27" si="13">K17+R17+S17+T17</f>
        <v>123269</v>
      </c>
      <c r="Y17" s="61">
        <v>180000</v>
      </c>
      <c r="Z17" s="189">
        <v>150000</v>
      </c>
      <c r="AA17" s="76">
        <f>AA16-AA18</f>
        <v>272060</v>
      </c>
      <c r="AB17" s="61">
        <f t="shared" si="5"/>
        <v>-92060</v>
      </c>
      <c r="AC17" s="122">
        <f t="shared" ref="AC17:AC26" si="14">Y17/AA17-1</f>
        <v>-0.338381239432478</v>
      </c>
      <c r="AD17" s="74">
        <f t="shared" ref="AD17:AD24" si="15">Y17/H17</f>
        <v>0.409090909090909</v>
      </c>
      <c r="AE17" s="61">
        <f>K17-J17</f>
        <v>-33580</v>
      </c>
      <c r="AF17" s="98">
        <v>0</v>
      </c>
      <c r="AG17" s="98">
        <v>0</v>
      </c>
      <c r="AH17" s="98">
        <v>0</v>
      </c>
      <c r="AI17" s="98">
        <v>0</v>
      </c>
      <c r="AJ17" s="98">
        <v>0</v>
      </c>
      <c r="AK17" s="98">
        <v>0</v>
      </c>
      <c r="AL17" s="98">
        <v>0</v>
      </c>
      <c r="AM17" s="98">
        <v>0</v>
      </c>
      <c r="AN17" s="98">
        <v>0</v>
      </c>
      <c r="AO17" s="98">
        <v>0</v>
      </c>
      <c r="AP17" s="61">
        <f t="shared" si="12"/>
        <v>0</v>
      </c>
      <c r="AQ17" s="76"/>
      <c r="AR17" s="76"/>
      <c r="AS17" s="98">
        <v>0</v>
      </c>
      <c r="AT17" s="98">
        <v>0</v>
      </c>
      <c r="AU17" s="181"/>
      <c r="AV17" s="76">
        <f>AV16-AV18</f>
        <v>12964</v>
      </c>
      <c r="AW17" s="206" t="s">
        <v>25</v>
      </c>
      <c r="AX17" s="74" t="s">
        <v>25</v>
      </c>
      <c r="AY17" s="74" t="s">
        <v>25</v>
      </c>
      <c r="AZ17" s="207"/>
      <c r="BA17" s="208"/>
      <c r="BB17" s="210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XDW17" s="101"/>
      <c r="XDX17" s="101"/>
      <c r="XDY17" s="101"/>
      <c r="XDZ17" s="101"/>
      <c r="XEA17" s="101"/>
      <c r="XEB17" s="101"/>
      <c r="XEC17" s="101"/>
      <c r="XED17" s="101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  <c r="XFA17" s="13"/>
      <c r="XFB17" s="13"/>
      <c r="XFC17" s="13"/>
      <c r="XFD17" s="13"/>
    </row>
    <row r="18" s="1" customFormat="1" ht="25" hidden="1" customHeight="1" outlineLevel="1" spans="1:16384">
      <c r="A18" s="157"/>
      <c r="B18" s="141"/>
      <c r="C18" s="165"/>
      <c r="D18" s="45" t="s">
        <v>162</v>
      </c>
      <c r="E18" s="51" t="s">
        <v>163</v>
      </c>
      <c r="F18" s="51"/>
      <c r="G18" s="51"/>
      <c r="H18" s="51">
        <f>H16-H17</f>
        <v>80000</v>
      </c>
      <c r="I18" s="76">
        <f>I16-I17</f>
        <v>50000</v>
      </c>
      <c r="J18" s="51">
        <f>J16-J17</f>
        <v>29000</v>
      </c>
      <c r="K18" s="76">
        <v>39330</v>
      </c>
      <c r="L18" s="76">
        <v>60758</v>
      </c>
      <c r="M18" s="61">
        <f t="shared" si="2"/>
        <v>-21428</v>
      </c>
      <c r="N18" s="74">
        <f t="shared" si="10"/>
        <v>-0.352677836663485</v>
      </c>
      <c r="O18" s="76">
        <f>J18-K18</f>
        <v>-10330</v>
      </c>
      <c r="P18" s="74">
        <f t="shared" si="7"/>
        <v>0.7866</v>
      </c>
      <c r="Q18" s="74">
        <f t="shared" si="4"/>
        <v>0.491625</v>
      </c>
      <c r="R18" s="61">
        <v>5000</v>
      </c>
      <c r="S18" s="61">
        <v>5000</v>
      </c>
      <c r="T18" s="61">
        <v>5000</v>
      </c>
      <c r="U18" s="61">
        <f t="shared" si="11"/>
        <v>44330</v>
      </c>
      <c r="V18" s="61"/>
      <c r="W18" s="61"/>
      <c r="X18" s="61">
        <f t="shared" si="13"/>
        <v>54330</v>
      </c>
      <c r="Y18" s="61">
        <v>50000</v>
      </c>
      <c r="Z18" s="189">
        <v>50000</v>
      </c>
      <c r="AA18" s="61">
        <v>107472</v>
      </c>
      <c r="AB18" s="61">
        <f t="shared" si="5"/>
        <v>-57472</v>
      </c>
      <c r="AC18" s="122">
        <f t="shared" si="14"/>
        <v>-0.534762542801846</v>
      </c>
      <c r="AD18" s="74">
        <f t="shared" si="15"/>
        <v>0.625</v>
      </c>
      <c r="AE18" s="61"/>
      <c r="AF18" s="98">
        <v>0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61">
        <f t="shared" si="12"/>
        <v>0</v>
      </c>
      <c r="AQ18" s="76"/>
      <c r="AR18" s="76"/>
      <c r="AS18" s="98">
        <v>0</v>
      </c>
      <c r="AT18" s="98">
        <v>0</v>
      </c>
      <c r="AU18" s="181"/>
      <c r="AV18" s="98">
        <v>0</v>
      </c>
      <c r="AW18" s="206">
        <v>0</v>
      </c>
      <c r="AX18" s="74" t="s">
        <v>25</v>
      </c>
      <c r="AY18" s="74" t="s">
        <v>25</v>
      </c>
      <c r="AZ18" s="207"/>
      <c r="BA18" s="208"/>
      <c r="BB18" s="210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HH18" s="101"/>
      <c r="HI18" s="101"/>
      <c r="HJ18" s="101"/>
      <c r="HK18" s="101"/>
      <c r="HL18" s="101"/>
      <c r="HM18" s="101"/>
      <c r="HN18" s="101"/>
      <c r="HO18" s="101"/>
      <c r="HP18" s="101"/>
      <c r="HQ18" s="101"/>
      <c r="HR18" s="101"/>
      <c r="HS18" s="101"/>
      <c r="HT18" s="101"/>
      <c r="HU18" s="101"/>
      <c r="HV18" s="101"/>
      <c r="HW18" s="101"/>
      <c r="HX18" s="101"/>
      <c r="HY18" s="101"/>
      <c r="HZ18" s="101"/>
      <c r="IA18" s="101"/>
      <c r="IB18" s="101"/>
      <c r="IC18" s="101"/>
      <c r="ID18" s="101"/>
      <c r="IE18" s="101"/>
      <c r="IF18" s="101"/>
      <c r="IG18" s="101"/>
      <c r="IH18" s="101"/>
      <c r="II18" s="101"/>
      <c r="IJ18" s="101"/>
      <c r="IK18" s="101"/>
      <c r="IL18" s="101"/>
      <c r="XDW18" s="101"/>
      <c r="XDX18" s="101"/>
      <c r="XDY18" s="101"/>
      <c r="XDZ18" s="101"/>
      <c r="XEA18" s="101"/>
      <c r="XEB18" s="101"/>
      <c r="XEC18" s="101"/>
      <c r="XED18" s="101"/>
      <c r="XEE18" s="13"/>
      <c r="XEF18" s="13"/>
      <c r="XEG18" s="13"/>
      <c r="XEH18" s="13"/>
      <c r="XEI18" s="13"/>
      <c r="XEJ18" s="13"/>
      <c r="XEK18" s="13"/>
      <c r="XEL18" s="13"/>
      <c r="XEM18" s="13"/>
      <c r="XEN18" s="13"/>
      <c r="XEO18" s="13"/>
      <c r="XEP18" s="13"/>
      <c r="XEQ18" s="13"/>
      <c r="XER18" s="13"/>
      <c r="XES18" s="13"/>
      <c r="XET18" s="13"/>
      <c r="XEU18" s="13"/>
      <c r="XEV18" s="13"/>
      <c r="XEW18" s="13"/>
      <c r="XEX18" s="13"/>
      <c r="XEY18" s="13"/>
      <c r="XEZ18" s="13"/>
      <c r="XFA18" s="13"/>
      <c r="XFB18" s="13"/>
      <c r="XFC18" s="13"/>
      <c r="XFD18" s="13"/>
    </row>
    <row r="19" s="1" customFormat="1" ht="25" customHeight="1" collapsed="1" spans="1:16384">
      <c r="A19" s="157"/>
      <c r="B19" s="141"/>
      <c r="C19" s="164">
        <v>2</v>
      </c>
      <c r="D19" s="45" t="s">
        <v>43</v>
      </c>
      <c r="E19" s="47" t="s">
        <v>158</v>
      </c>
      <c r="F19" s="52" t="s">
        <v>159</v>
      </c>
      <c r="G19" s="52" t="s">
        <v>154</v>
      </c>
      <c r="H19" s="51">
        <v>34000</v>
      </c>
      <c r="I19" s="52">
        <v>11000</v>
      </c>
      <c r="J19" s="52" t="s">
        <v>25</v>
      </c>
      <c r="K19" s="76">
        <v>2062</v>
      </c>
      <c r="L19" s="61">
        <v>5027</v>
      </c>
      <c r="M19" s="61">
        <f t="shared" si="2"/>
        <v>-2965</v>
      </c>
      <c r="N19" s="74">
        <f t="shared" si="10"/>
        <v>-0.589814999005371</v>
      </c>
      <c r="O19" s="76">
        <f t="shared" si="3"/>
        <v>8938</v>
      </c>
      <c r="P19" s="74">
        <f t="shared" si="7"/>
        <v>0.187454545454545</v>
      </c>
      <c r="Q19" s="74">
        <f t="shared" si="4"/>
        <v>0.0606470588235294</v>
      </c>
      <c r="R19" s="61">
        <v>2000</v>
      </c>
      <c r="S19" s="61">
        <v>2000</v>
      </c>
      <c r="T19" s="61">
        <v>2000</v>
      </c>
      <c r="U19" s="61">
        <f t="shared" si="11"/>
        <v>4062</v>
      </c>
      <c r="V19" s="61">
        <v>5699.335434</v>
      </c>
      <c r="W19" s="61"/>
      <c r="X19" s="61">
        <f t="shared" si="13"/>
        <v>8062</v>
      </c>
      <c r="Y19" s="61">
        <v>11000</v>
      </c>
      <c r="Z19" s="189">
        <v>10000</v>
      </c>
      <c r="AA19" s="61">
        <v>10447</v>
      </c>
      <c r="AB19" s="61">
        <f t="shared" si="5"/>
        <v>553</v>
      </c>
      <c r="AC19" s="122">
        <f t="shared" si="14"/>
        <v>0.052933856609553</v>
      </c>
      <c r="AD19" s="74">
        <f t="shared" si="15"/>
        <v>0.323529411764706</v>
      </c>
      <c r="AE19" s="61">
        <f>K19-I19</f>
        <v>-8938</v>
      </c>
      <c r="AF19" s="52">
        <v>8500</v>
      </c>
      <c r="AG19" s="52">
        <v>3200</v>
      </c>
      <c r="AH19" s="52">
        <v>1676</v>
      </c>
      <c r="AI19" s="98">
        <v>0</v>
      </c>
      <c r="AJ19" s="52">
        <v>-235</v>
      </c>
      <c r="AK19" s="74">
        <f>(AJ19-AH19)/ABS(AH19)</f>
        <v>-1.14021479713604</v>
      </c>
      <c r="AL19" s="74">
        <f>AJ19/AG19</f>
        <v>-0.0734375</v>
      </c>
      <c r="AM19" s="61">
        <v>200</v>
      </c>
      <c r="AN19" s="61">
        <v>200</v>
      </c>
      <c r="AO19" s="61">
        <v>200</v>
      </c>
      <c r="AP19" s="61">
        <f t="shared" si="12"/>
        <v>-35</v>
      </c>
      <c r="AQ19" s="61">
        <v>1716.079144</v>
      </c>
      <c r="AR19" s="61"/>
      <c r="AS19" s="61">
        <f t="shared" ref="AS17:AS27" si="16">AJ19+AM19+AN19+AO19</f>
        <v>365</v>
      </c>
      <c r="AT19" s="61">
        <v>1500</v>
      </c>
      <c r="AU19" s="189">
        <v>1500</v>
      </c>
      <c r="AV19" s="61">
        <v>4179</v>
      </c>
      <c r="AW19" s="206">
        <f>AT19-AV19</f>
        <v>-2679</v>
      </c>
      <c r="AX19" s="74">
        <f t="shared" si="6"/>
        <v>-0.641062455132807</v>
      </c>
      <c r="AY19" s="74">
        <f>AT19/AF19</f>
        <v>0.176470588235294</v>
      </c>
      <c r="AZ19" s="207"/>
      <c r="BA19" s="208"/>
      <c r="BB19" s="210" t="s">
        <v>164</v>
      </c>
      <c r="BC19" s="101"/>
      <c r="BD19" s="101"/>
      <c r="BE19" s="101"/>
      <c r="BF19" s="101"/>
      <c r="BG19" s="101"/>
      <c r="BH19" s="101"/>
      <c r="BI19" s="101"/>
      <c r="BJ19" s="222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/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/>
      <c r="II19" s="101"/>
      <c r="IJ19" s="101"/>
      <c r="IK19" s="101"/>
      <c r="IL19" s="101"/>
      <c r="XDW19" s="101"/>
      <c r="XDX19" s="101"/>
      <c r="XDY19" s="101"/>
      <c r="XDZ19" s="101"/>
      <c r="XEA19" s="101"/>
      <c r="XEB19" s="101"/>
      <c r="XEC19" s="101"/>
      <c r="XED19" s="101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  <c r="XEV19" s="13"/>
      <c r="XEW19" s="13"/>
      <c r="XEX19" s="13"/>
      <c r="XEY19" s="13"/>
      <c r="XEZ19" s="13"/>
      <c r="XFA19" s="13"/>
      <c r="XFB19" s="13"/>
      <c r="XFC19" s="13"/>
      <c r="XFD19" s="13"/>
    </row>
    <row r="20" s="1" customFormat="1" ht="25" customHeight="1" spans="1:16384">
      <c r="A20" s="157"/>
      <c r="B20" s="141"/>
      <c r="C20" s="164">
        <v>3</v>
      </c>
      <c r="D20" s="45" t="s">
        <v>42</v>
      </c>
      <c r="E20" s="42" t="s">
        <v>158</v>
      </c>
      <c r="F20" s="51" t="s">
        <v>159</v>
      </c>
      <c r="G20" s="51" t="s">
        <v>154</v>
      </c>
      <c r="H20" s="51">
        <v>60000</v>
      </c>
      <c r="I20" s="52">
        <v>38000</v>
      </c>
      <c r="J20" s="51">
        <v>38000</v>
      </c>
      <c r="K20" s="77">
        <f>K21+K22</f>
        <v>36990</v>
      </c>
      <c r="L20" s="61">
        <v>44710</v>
      </c>
      <c r="M20" s="61">
        <f t="shared" si="2"/>
        <v>-7720</v>
      </c>
      <c r="N20" s="74">
        <f t="shared" si="10"/>
        <v>-0.172668306866473</v>
      </c>
      <c r="O20" s="76">
        <f t="shared" si="3"/>
        <v>1010</v>
      </c>
      <c r="P20" s="74">
        <f t="shared" si="7"/>
        <v>0.973421052631579</v>
      </c>
      <c r="Q20" s="74">
        <f t="shared" si="4"/>
        <v>0.6165</v>
      </c>
      <c r="R20" s="61">
        <v>4500</v>
      </c>
      <c r="S20" s="61">
        <v>4500</v>
      </c>
      <c r="T20" s="61">
        <v>4500</v>
      </c>
      <c r="U20" s="61">
        <f t="shared" si="11"/>
        <v>41490</v>
      </c>
      <c r="V20" s="61">
        <v>46735.55767</v>
      </c>
      <c r="W20" s="61"/>
      <c r="X20" s="61">
        <f t="shared" si="13"/>
        <v>50490</v>
      </c>
      <c r="Y20" s="61">
        <v>51000</v>
      </c>
      <c r="Z20" s="189">
        <v>51000</v>
      </c>
      <c r="AA20" s="61">
        <v>50462</v>
      </c>
      <c r="AB20" s="61">
        <f t="shared" si="5"/>
        <v>538</v>
      </c>
      <c r="AC20" s="122">
        <f t="shared" si="14"/>
        <v>0.0106614878522453</v>
      </c>
      <c r="AD20" s="74">
        <f t="shared" si="15"/>
        <v>0.85</v>
      </c>
      <c r="AE20" s="61">
        <f>K20-J20</f>
        <v>-1010</v>
      </c>
      <c r="AF20" s="52">
        <v>1500</v>
      </c>
      <c r="AG20" s="52">
        <v>320</v>
      </c>
      <c r="AH20" s="52">
        <v>500</v>
      </c>
      <c r="AI20" s="98">
        <v>0</v>
      </c>
      <c r="AJ20" s="52">
        <v>500</v>
      </c>
      <c r="AK20" s="74">
        <f>(AJ20-AH20)/ABS(AH20)</f>
        <v>0</v>
      </c>
      <c r="AL20" s="74">
        <f>AJ20/AG20</f>
        <v>1.5625</v>
      </c>
      <c r="AM20" s="61">
        <v>200</v>
      </c>
      <c r="AN20" s="61">
        <v>200</v>
      </c>
      <c r="AO20" s="61">
        <v>200</v>
      </c>
      <c r="AP20" s="61">
        <f t="shared" si="12"/>
        <v>700</v>
      </c>
      <c r="AQ20" s="61">
        <v>593.508816</v>
      </c>
      <c r="AR20" s="61"/>
      <c r="AS20" s="61">
        <f t="shared" si="16"/>
        <v>1100</v>
      </c>
      <c r="AT20" s="61">
        <v>1050</v>
      </c>
      <c r="AU20" s="189">
        <v>1050</v>
      </c>
      <c r="AV20" s="61">
        <v>752</v>
      </c>
      <c r="AW20" s="206">
        <f>AT20-AV20</f>
        <v>298</v>
      </c>
      <c r="AX20" s="74">
        <f t="shared" si="6"/>
        <v>0.396276595744681</v>
      </c>
      <c r="AY20" s="74">
        <f>AT20/AF20</f>
        <v>0.7</v>
      </c>
      <c r="AZ20" s="207"/>
      <c r="BA20" s="208"/>
      <c r="BB20" s="210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HH20" s="101"/>
      <c r="HI20" s="101"/>
      <c r="HJ20" s="101"/>
      <c r="HK20" s="101"/>
      <c r="HL20" s="101"/>
      <c r="HM20" s="101"/>
      <c r="HN20" s="101"/>
      <c r="HO20" s="101"/>
      <c r="HP20" s="101"/>
      <c r="HQ20" s="101"/>
      <c r="HR20" s="101"/>
      <c r="HS20" s="101"/>
      <c r="HT20" s="101"/>
      <c r="HU20" s="101"/>
      <c r="HV20" s="101"/>
      <c r="HW20" s="101"/>
      <c r="HX20" s="101"/>
      <c r="HY20" s="101"/>
      <c r="HZ20" s="101"/>
      <c r="IA20" s="101"/>
      <c r="IB20" s="101"/>
      <c r="IC20" s="101"/>
      <c r="ID20" s="101"/>
      <c r="IE20" s="101"/>
      <c r="IF20" s="101"/>
      <c r="IG20" s="101"/>
      <c r="IH20" s="101"/>
      <c r="II20" s="101"/>
      <c r="IJ20" s="101"/>
      <c r="IK20" s="101"/>
      <c r="IL20" s="101"/>
      <c r="XDW20" s="101"/>
      <c r="XDX20" s="101"/>
      <c r="XDY20" s="101"/>
      <c r="XDZ20" s="101"/>
      <c r="XEA20" s="101"/>
      <c r="XEB20" s="101"/>
      <c r="XEC20" s="101"/>
      <c r="XED20" s="101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  <c r="XFA20" s="13"/>
      <c r="XFB20" s="13"/>
      <c r="XFC20" s="13"/>
      <c r="XFD20" s="13"/>
    </row>
    <row r="21" s="1" customFormat="1" ht="25" hidden="1" customHeight="1" outlineLevel="1" spans="1:16384">
      <c r="A21" s="157"/>
      <c r="B21" s="141"/>
      <c r="C21" s="165"/>
      <c r="D21" s="45" t="s">
        <v>161</v>
      </c>
      <c r="E21" s="52"/>
      <c r="F21" s="51"/>
      <c r="G21" s="51"/>
      <c r="H21" s="51">
        <f t="shared" ref="H21:L21" si="17">H20-H22</f>
        <v>40000</v>
      </c>
      <c r="I21" s="76">
        <f t="shared" si="17"/>
        <v>26000</v>
      </c>
      <c r="J21" s="51">
        <v>26000</v>
      </c>
      <c r="K21" s="76">
        <v>16337</v>
      </c>
      <c r="L21" s="76">
        <f t="shared" si="17"/>
        <v>10834</v>
      </c>
      <c r="M21" s="61">
        <f t="shared" si="2"/>
        <v>5503</v>
      </c>
      <c r="N21" s="74">
        <f t="shared" si="10"/>
        <v>0.507937973047812</v>
      </c>
      <c r="O21" s="76"/>
      <c r="P21" s="74">
        <f t="shared" ref="P21:P26" si="18">K21/I21</f>
        <v>0.628346153846154</v>
      </c>
      <c r="Q21" s="74">
        <f t="shared" si="4"/>
        <v>0.408425</v>
      </c>
      <c r="R21" s="61">
        <f>R20-R22</f>
        <v>4500</v>
      </c>
      <c r="S21" s="61">
        <f>S20-S22</f>
        <v>4500</v>
      </c>
      <c r="T21" s="61">
        <f>T20-T22</f>
        <v>4500</v>
      </c>
      <c r="U21" s="61">
        <f t="shared" si="11"/>
        <v>20837</v>
      </c>
      <c r="V21" s="61"/>
      <c r="W21" s="61"/>
      <c r="X21" s="61">
        <f t="shared" si="13"/>
        <v>29837</v>
      </c>
      <c r="Y21" s="61">
        <v>28000</v>
      </c>
      <c r="Z21" s="189">
        <f>Z20-Z22</f>
        <v>28000</v>
      </c>
      <c r="AA21" s="61">
        <f>AA20-AA22</f>
        <v>27863</v>
      </c>
      <c r="AB21" s="61">
        <f t="shared" si="5"/>
        <v>137</v>
      </c>
      <c r="AC21" s="122">
        <f t="shared" si="14"/>
        <v>0.00491691490507118</v>
      </c>
      <c r="AD21" s="74">
        <f t="shared" si="15"/>
        <v>0.7</v>
      </c>
      <c r="AE21" s="61"/>
      <c r="AF21" s="98">
        <v>0</v>
      </c>
      <c r="AG21" s="98">
        <v>0</v>
      </c>
      <c r="AH21" s="98">
        <v>0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61">
        <f t="shared" si="12"/>
        <v>0</v>
      </c>
      <c r="AQ21" s="76"/>
      <c r="AR21" s="76"/>
      <c r="AS21" s="98">
        <v>0</v>
      </c>
      <c r="AT21" s="98">
        <v>0</v>
      </c>
      <c r="AU21" s="181"/>
      <c r="AV21" s="76">
        <f>AV20-AV22</f>
        <v>752</v>
      </c>
      <c r="AW21" s="206">
        <v>0</v>
      </c>
      <c r="AX21" s="74" t="s">
        <v>25</v>
      </c>
      <c r="AY21" s="74" t="s">
        <v>25</v>
      </c>
      <c r="AZ21" s="207"/>
      <c r="BA21" s="208"/>
      <c r="BB21" s="210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1"/>
      <c r="DF21" s="101"/>
      <c r="DG21" s="101"/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  <c r="HS21" s="101"/>
      <c r="HT21" s="101"/>
      <c r="HU21" s="101"/>
      <c r="HV21" s="101"/>
      <c r="HW21" s="101"/>
      <c r="HX21" s="101"/>
      <c r="HY21" s="101"/>
      <c r="HZ21" s="101"/>
      <c r="IA21" s="101"/>
      <c r="IB21" s="101"/>
      <c r="IC21" s="101"/>
      <c r="ID21" s="101"/>
      <c r="IE21" s="101"/>
      <c r="IF21" s="101"/>
      <c r="IG21" s="101"/>
      <c r="IH21" s="101"/>
      <c r="II21" s="101"/>
      <c r="IJ21" s="101"/>
      <c r="IK21" s="101"/>
      <c r="IL21" s="101"/>
      <c r="XDW21" s="101"/>
      <c r="XDX21" s="101"/>
      <c r="XDY21" s="101"/>
      <c r="XDZ21" s="101"/>
      <c r="XEA21" s="101"/>
      <c r="XEB21" s="101"/>
      <c r="XEC21" s="101"/>
      <c r="XED21" s="101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  <c r="XEW21" s="13"/>
      <c r="XEX21" s="13"/>
      <c r="XEY21" s="13"/>
      <c r="XEZ21" s="13"/>
      <c r="XFA21" s="13"/>
      <c r="XFB21" s="13"/>
      <c r="XFC21" s="13"/>
      <c r="XFD21" s="13"/>
    </row>
    <row r="22" s="1" customFormat="1" ht="25" hidden="1" customHeight="1" outlineLevel="1" spans="1:16384">
      <c r="A22" s="157"/>
      <c r="B22" s="141"/>
      <c r="C22" s="165"/>
      <c r="D22" s="45" t="s">
        <v>162</v>
      </c>
      <c r="E22" s="51" t="s">
        <v>163</v>
      </c>
      <c r="F22" s="51"/>
      <c r="G22" s="51"/>
      <c r="H22" s="51">
        <v>20000</v>
      </c>
      <c r="I22" s="52">
        <v>12000</v>
      </c>
      <c r="J22" s="51">
        <v>12000</v>
      </c>
      <c r="K22" s="76">
        <v>20653</v>
      </c>
      <c r="L22" s="61">
        <v>33876</v>
      </c>
      <c r="M22" s="61">
        <f t="shared" si="2"/>
        <v>-13223</v>
      </c>
      <c r="N22" s="74">
        <f t="shared" si="10"/>
        <v>-0.39033534065415</v>
      </c>
      <c r="O22" s="76"/>
      <c r="P22" s="74">
        <f t="shared" si="18"/>
        <v>1.72108333333333</v>
      </c>
      <c r="Q22" s="74">
        <f t="shared" si="4"/>
        <v>1.03265</v>
      </c>
      <c r="R22" s="61">
        <v>0</v>
      </c>
      <c r="S22" s="61">
        <v>0</v>
      </c>
      <c r="T22" s="61">
        <v>0</v>
      </c>
      <c r="U22" s="61">
        <f t="shared" si="11"/>
        <v>20653</v>
      </c>
      <c r="V22" s="61"/>
      <c r="W22" s="61"/>
      <c r="X22" s="61">
        <f t="shared" si="13"/>
        <v>20653</v>
      </c>
      <c r="Y22" s="61">
        <v>23000</v>
      </c>
      <c r="Z22" s="189">
        <v>23000</v>
      </c>
      <c r="AA22" s="61">
        <v>22599</v>
      </c>
      <c r="AB22" s="61">
        <f t="shared" si="5"/>
        <v>401</v>
      </c>
      <c r="AC22" s="122">
        <f t="shared" si="14"/>
        <v>0.0177441479711491</v>
      </c>
      <c r="AD22" s="74">
        <f t="shared" si="15"/>
        <v>1.15</v>
      </c>
      <c r="AE22" s="61"/>
      <c r="AF22" s="98">
        <v>0</v>
      </c>
      <c r="AG22" s="98">
        <v>0</v>
      </c>
      <c r="AH22" s="98">
        <v>0</v>
      </c>
      <c r="AI22" s="98">
        <v>0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61">
        <f t="shared" si="12"/>
        <v>0</v>
      </c>
      <c r="AQ22" s="76"/>
      <c r="AR22" s="76"/>
      <c r="AS22" s="98">
        <v>0</v>
      </c>
      <c r="AT22" s="98">
        <v>0</v>
      </c>
      <c r="AU22" s="181"/>
      <c r="AV22" s="98">
        <v>0</v>
      </c>
      <c r="AW22" s="206">
        <v>0</v>
      </c>
      <c r="AX22" s="74" t="s">
        <v>25</v>
      </c>
      <c r="AY22" s="74" t="s">
        <v>25</v>
      </c>
      <c r="AZ22" s="207"/>
      <c r="BA22" s="208"/>
      <c r="BB22" s="210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  <c r="CT22" s="101"/>
      <c r="CU22" s="101"/>
      <c r="CV22" s="101"/>
      <c r="CW22" s="101"/>
      <c r="CX22" s="101"/>
      <c r="CY22" s="101"/>
      <c r="CZ22" s="101"/>
      <c r="DA22" s="101"/>
      <c r="DB22" s="101"/>
      <c r="DC22" s="101"/>
      <c r="DD22" s="101"/>
      <c r="DE22" s="101"/>
      <c r="DF22" s="101"/>
      <c r="DG22" s="101"/>
      <c r="DH22" s="101"/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1"/>
      <c r="EN22" s="101"/>
      <c r="EO22" s="101"/>
      <c r="EP22" s="101"/>
      <c r="EQ22" s="101"/>
      <c r="ER22" s="101"/>
      <c r="ES22" s="101"/>
      <c r="ET22" s="101"/>
      <c r="EU22" s="101"/>
      <c r="EV22" s="101"/>
      <c r="EW22" s="101"/>
      <c r="EX22" s="101"/>
      <c r="EY22" s="101"/>
      <c r="EZ22" s="101"/>
      <c r="FA22" s="101"/>
      <c r="FB22" s="101"/>
      <c r="FC22" s="101"/>
      <c r="FD22" s="101"/>
      <c r="FE22" s="101"/>
      <c r="FF22" s="101"/>
      <c r="FG22" s="101"/>
      <c r="FH22" s="101"/>
      <c r="FI22" s="101"/>
      <c r="FJ22" s="101"/>
      <c r="FK22" s="101"/>
      <c r="FL22" s="101"/>
      <c r="FM22" s="101"/>
      <c r="FN22" s="101"/>
      <c r="FO22" s="101"/>
      <c r="FP22" s="101"/>
      <c r="FQ22" s="101"/>
      <c r="FR22" s="101"/>
      <c r="FS22" s="101"/>
      <c r="FT22" s="101"/>
      <c r="FU22" s="101"/>
      <c r="FV22" s="101"/>
      <c r="FW22" s="101"/>
      <c r="FX22" s="101"/>
      <c r="FY22" s="101"/>
      <c r="FZ22" s="101"/>
      <c r="GA22" s="101"/>
      <c r="GB22" s="101"/>
      <c r="GC22" s="101"/>
      <c r="GD22" s="101"/>
      <c r="GE22" s="101"/>
      <c r="GF22" s="101"/>
      <c r="GG22" s="101"/>
      <c r="GH22" s="101"/>
      <c r="GI22" s="101"/>
      <c r="GJ22" s="101"/>
      <c r="GK22" s="101"/>
      <c r="GL22" s="101"/>
      <c r="GM22" s="101"/>
      <c r="GN22" s="101"/>
      <c r="GO22" s="101"/>
      <c r="GP22" s="101"/>
      <c r="GQ22" s="101"/>
      <c r="GR22" s="101"/>
      <c r="GS22" s="101"/>
      <c r="GT22" s="101"/>
      <c r="GU22" s="101"/>
      <c r="GV22" s="101"/>
      <c r="GW22" s="101"/>
      <c r="GX22" s="101"/>
      <c r="GY22" s="101"/>
      <c r="GZ22" s="101"/>
      <c r="HA22" s="101"/>
      <c r="HB22" s="101"/>
      <c r="HC22" s="101"/>
      <c r="HD22" s="101"/>
      <c r="HE22" s="101"/>
      <c r="HF22" s="101"/>
      <c r="HG22" s="101"/>
      <c r="HH22" s="101"/>
      <c r="HI22" s="101"/>
      <c r="HJ22" s="101"/>
      <c r="HK22" s="101"/>
      <c r="HL22" s="101"/>
      <c r="HM22" s="101"/>
      <c r="HN22" s="101"/>
      <c r="HO22" s="101"/>
      <c r="HP22" s="101"/>
      <c r="HQ22" s="101"/>
      <c r="HR22" s="101"/>
      <c r="HS22" s="101"/>
      <c r="HT22" s="101"/>
      <c r="HU22" s="101"/>
      <c r="HV22" s="101"/>
      <c r="HW22" s="101"/>
      <c r="HX22" s="101"/>
      <c r="HY22" s="101"/>
      <c r="HZ22" s="101"/>
      <c r="IA22" s="101"/>
      <c r="IB22" s="101"/>
      <c r="IC22" s="101"/>
      <c r="ID22" s="101"/>
      <c r="IE22" s="101"/>
      <c r="IF22" s="101"/>
      <c r="IG22" s="101"/>
      <c r="IH22" s="101"/>
      <c r="II22" s="101"/>
      <c r="IJ22" s="101"/>
      <c r="IK22" s="101"/>
      <c r="IL22" s="101"/>
      <c r="XDW22" s="101"/>
      <c r="XDX22" s="101"/>
      <c r="XDY22" s="101"/>
      <c r="XDZ22" s="101"/>
      <c r="XEA22" s="101"/>
      <c r="XEB22" s="101"/>
      <c r="XEC22" s="101"/>
      <c r="XED22" s="101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  <c r="XER22" s="13"/>
      <c r="XES22" s="13"/>
      <c r="XET22" s="13"/>
      <c r="XEU22" s="13"/>
      <c r="XEV22" s="13"/>
      <c r="XEW22" s="13"/>
      <c r="XEX22" s="13"/>
      <c r="XEY22" s="13"/>
      <c r="XEZ22" s="13"/>
      <c r="XFA22" s="13"/>
      <c r="XFB22" s="13"/>
      <c r="XFC22" s="13"/>
      <c r="XFD22" s="13"/>
    </row>
    <row r="23" s="6" customFormat="1" ht="25" customHeight="1" collapsed="1" spans="1:16384">
      <c r="A23" s="166"/>
      <c r="B23" s="167"/>
      <c r="C23" s="164">
        <v>4</v>
      </c>
      <c r="D23" s="45" t="s">
        <v>45</v>
      </c>
      <c r="E23" s="42" t="s">
        <v>158</v>
      </c>
      <c r="F23" s="51" t="s">
        <v>159</v>
      </c>
      <c r="G23" s="51" t="s">
        <v>154</v>
      </c>
      <c r="H23" s="51">
        <v>111000</v>
      </c>
      <c r="I23" s="52">
        <v>46000</v>
      </c>
      <c r="J23" s="52">
        <v>47000</v>
      </c>
      <c r="K23" s="76">
        <v>41957</v>
      </c>
      <c r="L23" s="61">
        <v>55529</v>
      </c>
      <c r="M23" s="61">
        <f t="shared" si="2"/>
        <v>-13572</v>
      </c>
      <c r="N23" s="74">
        <f t="shared" ref="N23:N40" si="19">K23/L23-1</f>
        <v>-0.244412829332421</v>
      </c>
      <c r="O23" s="76">
        <f>J23-K23</f>
        <v>5043</v>
      </c>
      <c r="P23" s="74">
        <f t="shared" si="18"/>
        <v>0.912108695652174</v>
      </c>
      <c r="Q23" s="74">
        <f t="shared" si="4"/>
        <v>0.377990990990991</v>
      </c>
      <c r="R23" s="61">
        <v>3474</v>
      </c>
      <c r="S23" s="61">
        <v>5211</v>
      </c>
      <c r="T23" s="61">
        <v>8685</v>
      </c>
      <c r="U23" s="61">
        <f t="shared" si="11"/>
        <v>45431</v>
      </c>
      <c r="V23" s="61">
        <v>60536.375023</v>
      </c>
      <c r="W23" s="61"/>
      <c r="X23" s="61">
        <f t="shared" si="13"/>
        <v>59327</v>
      </c>
      <c r="Y23" s="61">
        <v>66000</v>
      </c>
      <c r="Z23" s="189">
        <v>56000</v>
      </c>
      <c r="AA23" s="61">
        <v>76568</v>
      </c>
      <c r="AB23" s="61">
        <f t="shared" si="5"/>
        <v>-10568</v>
      </c>
      <c r="AC23" s="122">
        <f t="shared" si="14"/>
        <v>-0.138021105422631</v>
      </c>
      <c r="AD23" s="74">
        <f t="shared" si="15"/>
        <v>0.594594594594595</v>
      </c>
      <c r="AE23" s="61">
        <f>K23-J23</f>
        <v>-5043</v>
      </c>
      <c r="AF23" s="52">
        <v>11600</v>
      </c>
      <c r="AG23" s="52">
        <v>4700</v>
      </c>
      <c r="AH23" s="52">
        <v>5396</v>
      </c>
      <c r="AI23" s="52">
        <v>5390</v>
      </c>
      <c r="AJ23" s="52">
        <v>5050</v>
      </c>
      <c r="AK23" s="74">
        <f t="shared" ref="AK23:AK38" si="20">(AJ23-AH23)/ABS(AH23)</f>
        <v>-0.06412157153447</v>
      </c>
      <c r="AL23" s="74">
        <f>AJ23/AG23</f>
        <v>1.07446808510638</v>
      </c>
      <c r="AM23" s="61">
        <v>349</v>
      </c>
      <c r="AN23" s="61">
        <v>524</v>
      </c>
      <c r="AO23" s="61">
        <v>873</v>
      </c>
      <c r="AP23" s="61">
        <f t="shared" si="12"/>
        <v>5399</v>
      </c>
      <c r="AQ23" s="61">
        <v>5947.15009</v>
      </c>
      <c r="AR23" s="61"/>
      <c r="AS23" s="61">
        <f t="shared" si="16"/>
        <v>6796</v>
      </c>
      <c r="AT23" s="61">
        <v>7000</v>
      </c>
      <c r="AU23" s="189">
        <v>6000</v>
      </c>
      <c r="AV23" s="61">
        <v>8841</v>
      </c>
      <c r="AW23" s="206">
        <f t="shared" ref="AW23:AW32" si="21">AT23-AV23</f>
        <v>-1841</v>
      </c>
      <c r="AX23" s="74">
        <f t="shared" si="6"/>
        <v>-0.208234362628662</v>
      </c>
      <c r="AY23" s="74">
        <f t="shared" ref="AY23:AY31" si="22">AT23/AF23</f>
        <v>0.603448275862069</v>
      </c>
      <c r="AZ23" s="207"/>
      <c r="BA23" s="208"/>
      <c r="BB23" s="211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103"/>
      <c r="FP23" s="103"/>
      <c r="FQ23" s="103"/>
      <c r="FR23" s="103"/>
      <c r="FS23" s="103"/>
      <c r="FT23" s="103"/>
      <c r="FU23" s="103"/>
      <c r="FV23" s="103"/>
      <c r="FW23" s="103"/>
      <c r="FX23" s="103"/>
      <c r="FY23" s="103"/>
      <c r="FZ23" s="103"/>
      <c r="GA23" s="103"/>
      <c r="GB23" s="103"/>
      <c r="GC23" s="103"/>
      <c r="GD23" s="103"/>
      <c r="GE23" s="103"/>
      <c r="GF23" s="103"/>
      <c r="GG23" s="103"/>
      <c r="GH23" s="103"/>
      <c r="GI23" s="103"/>
      <c r="GJ23" s="103"/>
      <c r="GK23" s="103"/>
      <c r="GL23" s="103"/>
      <c r="GM23" s="103"/>
      <c r="GN23" s="103"/>
      <c r="GO23" s="103"/>
      <c r="GP23" s="103"/>
      <c r="GQ23" s="103"/>
      <c r="GR23" s="103"/>
      <c r="GS23" s="103"/>
      <c r="GT23" s="103"/>
      <c r="GU23" s="103"/>
      <c r="GV23" s="103"/>
      <c r="GW23" s="103"/>
      <c r="GX23" s="103"/>
      <c r="GY23" s="103"/>
      <c r="GZ23" s="103"/>
      <c r="HA23" s="103"/>
      <c r="HB23" s="103"/>
      <c r="HC23" s="103"/>
      <c r="HD23" s="103"/>
      <c r="HE23" s="103"/>
      <c r="HF23" s="103"/>
      <c r="HG23" s="103"/>
      <c r="HH23" s="103"/>
      <c r="HI23" s="103"/>
      <c r="HJ23" s="103"/>
      <c r="HK23" s="103"/>
      <c r="HL23" s="103"/>
      <c r="HM23" s="103"/>
      <c r="HN23" s="103"/>
      <c r="HO23" s="103"/>
      <c r="HP23" s="103"/>
      <c r="HQ23" s="103"/>
      <c r="HR23" s="103"/>
      <c r="HS23" s="103"/>
      <c r="HT23" s="103"/>
      <c r="HU23" s="103"/>
      <c r="HV23" s="103"/>
      <c r="HW23" s="103"/>
      <c r="HX23" s="103"/>
      <c r="HY23" s="103"/>
      <c r="HZ23" s="103"/>
      <c r="IA23" s="103"/>
      <c r="IB23" s="103"/>
      <c r="IC23" s="103"/>
      <c r="ID23" s="103"/>
      <c r="IE23" s="103"/>
      <c r="IF23" s="103"/>
      <c r="IG23" s="103"/>
      <c r="IH23" s="103"/>
      <c r="II23" s="103"/>
      <c r="IJ23" s="103"/>
      <c r="IK23" s="103"/>
      <c r="IL23" s="103"/>
      <c r="XDW23" s="103"/>
      <c r="XDX23" s="103"/>
      <c r="XDY23" s="103"/>
      <c r="XDZ23" s="103"/>
      <c r="XEA23" s="103"/>
      <c r="XEB23" s="103"/>
      <c r="XEC23" s="103"/>
      <c r="XED23" s="103"/>
      <c r="XEE23" s="108"/>
      <c r="XEF23" s="108"/>
      <c r="XEG23" s="108"/>
      <c r="XEH23" s="108"/>
      <c r="XEI23" s="108"/>
      <c r="XEJ23" s="108"/>
      <c r="XEK23" s="108"/>
      <c r="XEL23" s="108"/>
      <c r="XEM23" s="108"/>
      <c r="XEN23" s="108"/>
      <c r="XEO23" s="108"/>
      <c r="XEP23" s="108"/>
      <c r="XEQ23" s="108"/>
      <c r="XER23" s="108"/>
      <c r="XES23" s="108"/>
      <c r="XET23" s="108"/>
      <c r="XEU23" s="108"/>
      <c r="XEV23" s="108"/>
      <c r="XEW23" s="108"/>
      <c r="XEX23" s="108"/>
      <c r="XEY23" s="108"/>
      <c r="XEZ23" s="108"/>
      <c r="XFA23" s="108"/>
      <c r="XFB23" s="108"/>
      <c r="XFC23" s="108"/>
      <c r="XFD23" s="108"/>
    </row>
    <row r="24" s="6" customFormat="1" ht="25" customHeight="1" spans="1:16384">
      <c r="A24" s="166"/>
      <c r="B24" s="167"/>
      <c r="C24" s="164">
        <v>5</v>
      </c>
      <c r="D24" s="45" t="s">
        <v>46</v>
      </c>
      <c r="E24" s="42" t="s">
        <v>158</v>
      </c>
      <c r="F24" s="51" t="s">
        <v>159</v>
      </c>
      <c r="G24" s="51" t="s">
        <v>154</v>
      </c>
      <c r="H24" s="51">
        <v>45000</v>
      </c>
      <c r="I24" s="52">
        <v>21000</v>
      </c>
      <c r="J24" s="51" t="s">
        <v>25</v>
      </c>
      <c r="K24" s="76">
        <v>19048</v>
      </c>
      <c r="L24" s="61">
        <v>20275</v>
      </c>
      <c r="M24" s="61">
        <f t="shared" si="2"/>
        <v>-1227</v>
      </c>
      <c r="N24" s="74">
        <f t="shared" si="19"/>
        <v>-0.060517879161529</v>
      </c>
      <c r="O24" s="76">
        <f t="shared" si="3"/>
        <v>1952</v>
      </c>
      <c r="P24" s="74">
        <f t="shared" si="18"/>
        <v>0.907047619047619</v>
      </c>
      <c r="Q24" s="74">
        <f t="shared" si="4"/>
        <v>0.423288888888889</v>
      </c>
      <c r="R24" s="61">
        <v>1500</v>
      </c>
      <c r="S24" s="61">
        <v>2500</v>
      </c>
      <c r="T24" s="61">
        <v>1500</v>
      </c>
      <c r="U24" s="61">
        <f t="shared" si="11"/>
        <v>20548</v>
      </c>
      <c r="V24" s="61">
        <v>22294.98687</v>
      </c>
      <c r="W24" s="61"/>
      <c r="X24" s="61">
        <f t="shared" si="13"/>
        <v>24548</v>
      </c>
      <c r="Y24" s="61">
        <v>27000</v>
      </c>
      <c r="Z24" s="189">
        <v>25000</v>
      </c>
      <c r="AA24" s="61">
        <v>29242</v>
      </c>
      <c r="AB24" s="61">
        <f t="shared" si="5"/>
        <v>-2242</v>
      </c>
      <c r="AC24" s="122">
        <f t="shared" si="14"/>
        <v>-0.0766705423705629</v>
      </c>
      <c r="AD24" s="74">
        <f t="shared" si="15"/>
        <v>0.6</v>
      </c>
      <c r="AE24" s="61">
        <f>K24-I24</f>
        <v>-1952</v>
      </c>
      <c r="AF24" s="52">
        <v>6600</v>
      </c>
      <c r="AG24" s="52">
        <v>2800</v>
      </c>
      <c r="AH24" s="52">
        <v>3637</v>
      </c>
      <c r="AI24" s="52">
        <v>3640</v>
      </c>
      <c r="AJ24" s="52">
        <v>3743</v>
      </c>
      <c r="AK24" s="74">
        <f t="shared" si="20"/>
        <v>0.0291448996425626</v>
      </c>
      <c r="AL24" s="74">
        <f>AJ24/AG24</f>
        <v>1.33678571428571</v>
      </c>
      <c r="AM24" s="61">
        <v>250</v>
      </c>
      <c r="AN24" s="61">
        <v>420</v>
      </c>
      <c r="AO24" s="61">
        <v>250</v>
      </c>
      <c r="AP24" s="61">
        <f t="shared" si="12"/>
        <v>3993</v>
      </c>
      <c r="AQ24" s="61">
        <v>4048.161472</v>
      </c>
      <c r="AR24" s="61"/>
      <c r="AS24" s="61">
        <f t="shared" si="16"/>
        <v>4663</v>
      </c>
      <c r="AT24" s="61">
        <v>4600</v>
      </c>
      <c r="AU24" s="189">
        <v>4543</v>
      </c>
      <c r="AV24" s="61">
        <v>5233</v>
      </c>
      <c r="AW24" s="206">
        <f t="shared" si="21"/>
        <v>-633</v>
      </c>
      <c r="AX24" s="74">
        <f t="shared" si="6"/>
        <v>-0.120963118669979</v>
      </c>
      <c r="AY24" s="74">
        <f t="shared" si="22"/>
        <v>0.696969696969697</v>
      </c>
      <c r="AZ24" s="207"/>
      <c r="BA24" s="208"/>
      <c r="BB24" s="211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3"/>
      <c r="HM24" s="103"/>
      <c r="HN24" s="103"/>
      <c r="HO24" s="103"/>
      <c r="HP24" s="103"/>
      <c r="HQ24" s="103"/>
      <c r="HR24" s="103"/>
      <c r="HS24" s="103"/>
      <c r="HT24" s="103"/>
      <c r="HU24" s="103"/>
      <c r="HV24" s="103"/>
      <c r="HW24" s="103"/>
      <c r="HX24" s="103"/>
      <c r="HY24" s="103"/>
      <c r="HZ24" s="103"/>
      <c r="IA24" s="103"/>
      <c r="IB24" s="103"/>
      <c r="IC24" s="103"/>
      <c r="ID24" s="103"/>
      <c r="IE24" s="103"/>
      <c r="IF24" s="103"/>
      <c r="IG24" s="103"/>
      <c r="IH24" s="103"/>
      <c r="II24" s="103"/>
      <c r="IJ24" s="103"/>
      <c r="IK24" s="103"/>
      <c r="IL24" s="103"/>
      <c r="XDW24" s="103"/>
      <c r="XDX24" s="103"/>
      <c r="XDY24" s="103"/>
      <c r="XDZ24" s="103"/>
      <c r="XEA24" s="103"/>
      <c r="XEB24" s="103"/>
      <c r="XEC24" s="103"/>
      <c r="XED24" s="103"/>
      <c r="XEE24" s="108"/>
      <c r="XEF24" s="108"/>
      <c r="XEG24" s="108"/>
      <c r="XEH24" s="108"/>
      <c r="XEI24" s="108"/>
      <c r="XEJ24" s="108"/>
      <c r="XEK24" s="108"/>
      <c r="XEL24" s="108"/>
      <c r="XEM24" s="108"/>
      <c r="XEN24" s="108"/>
      <c r="XEO24" s="108"/>
      <c r="XEP24" s="108"/>
      <c r="XEQ24" s="108"/>
      <c r="XER24" s="108"/>
      <c r="XES24" s="108"/>
      <c r="XET24" s="108"/>
      <c r="XEU24" s="108"/>
      <c r="XEV24" s="108"/>
      <c r="XEW24" s="108"/>
      <c r="XEX24" s="108"/>
      <c r="XEY24" s="108"/>
      <c r="XEZ24" s="108"/>
      <c r="XFA24" s="108"/>
      <c r="XFB24" s="108"/>
      <c r="XFC24" s="108"/>
      <c r="XFD24" s="108"/>
    </row>
    <row r="25" s="1" customFormat="1" ht="25" customHeight="1" spans="1:16384">
      <c r="A25" s="157"/>
      <c r="B25" s="141"/>
      <c r="C25" s="164">
        <v>6</v>
      </c>
      <c r="D25" s="45" t="s">
        <v>47</v>
      </c>
      <c r="E25" s="42" t="s">
        <v>158</v>
      </c>
      <c r="F25" s="51" t="s">
        <v>159</v>
      </c>
      <c r="G25" s="51" t="s">
        <v>154</v>
      </c>
      <c r="H25" s="51">
        <v>27000</v>
      </c>
      <c r="I25" s="52">
        <v>8500</v>
      </c>
      <c r="J25" s="51" t="s">
        <v>25</v>
      </c>
      <c r="K25" s="76">
        <v>8502</v>
      </c>
      <c r="L25" s="61">
        <v>7600</v>
      </c>
      <c r="M25" s="61">
        <f t="shared" si="2"/>
        <v>902</v>
      </c>
      <c r="N25" s="74">
        <f t="shared" si="19"/>
        <v>0.118684210526316</v>
      </c>
      <c r="O25" s="76">
        <f t="shared" si="3"/>
        <v>-2</v>
      </c>
      <c r="P25" s="74">
        <f t="shared" si="18"/>
        <v>1.00023529411765</v>
      </c>
      <c r="Q25" s="74">
        <f t="shared" si="4"/>
        <v>0.314888888888889</v>
      </c>
      <c r="R25" s="61">
        <v>230</v>
      </c>
      <c r="S25" s="61">
        <v>300</v>
      </c>
      <c r="T25" s="61">
        <v>2000</v>
      </c>
      <c r="U25" s="61">
        <f t="shared" si="11"/>
        <v>8732</v>
      </c>
      <c r="V25" s="61">
        <v>7599.62535</v>
      </c>
      <c r="W25" s="61"/>
      <c r="X25" s="61">
        <f t="shared" si="13"/>
        <v>11032</v>
      </c>
      <c r="Y25" s="61">
        <v>13500</v>
      </c>
      <c r="Z25" s="189">
        <v>11800</v>
      </c>
      <c r="AA25" s="61">
        <v>9255</v>
      </c>
      <c r="AB25" s="61">
        <f t="shared" si="5"/>
        <v>4245</v>
      </c>
      <c r="AC25" s="122">
        <f t="shared" si="14"/>
        <v>0.458670988654781</v>
      </c>
      <c r="AD25" s="74">
        <f t="shared" ref="AD25:AD37" si="23">Y25/H25</f>
        <v>0.5</v>
      </c>
      <c r="AE25" s="61">
        <f>K25-I25</f>
        <v>2</v>
      </c>
      <c r="AF25" s="52">
        <v>3300</v>
      </c>
      <c r="AG25" s="52">
        <v>1200</v>
      </c>
      <c r="AH25" s="52">
        <v>1112</v>
      </c>
      <c r="AI25" s="98">
        <v>0</v>
      </c>
      <c r="AJ25" s="52">
        <v>1051</v>
      </c>
      <c r="AK25" s="74">
        <f t="shared" si="20"/>
        <v>-0.0548561151079137</v>
      </c>
      <c r="AL25" s="74">
        <f>AJ25/AG25</f>
        <v>0.875833333333333</v>
      </c>
      <c r="AM25" s="61">
        <v>100</v>
      </c>
      <c r="AN25" s="61">
        <v>-100</v>
      </c>
      <c r="AO25" s="61">
        <v>500</v>
      </c>
      <c r="AP25" s="61">
        <f t="shared" si="12"/>
        <v>1151</v>
      </c>
      <c r="AQ25" s="61">
        <v>909.034096</v>
      </c>
      <c r="AR25" s="61"/>
      <c r="AS25" s="61">
        <f t="shared" si="16"/>
        <v>1551</v>
      </c>
      <c r="AT25" s="61">
        <v>1350</v>
      </c>
      <c r="AU25" s="189">
        <v>1150</v>
      </c>
      <c r="AV25" s="61">
        <v>878</v>
      </c>
      <c r="AW25" s="206">
        <f t="shared" si="21"/>
        <v>472</v>
      </c>
      <c r="AX25" s="74">
        <f t="shared" si="6"/>
        <v>0.537585421412301</v>
      </c>
      <c r="AY25" s="74">
        <f t="shared" si="22"/>
        <v>0.409090909090909</v>
      </c>
      <c r="AZ25" s="207"/>
      <c r="BA25" s="208"/>
      <c r="BB25" s="209" t="s">
        <v>165</v>
      </c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  <c r="CT25" s="101"/>
      <c r="CU25" s="101"/>
      <c r="CV25" s="101"/>
      <c r="CW25" s="101"/>
      <c r="CX25" s="101"/>
      <c r="CY25" s="101"/>
      <c r="CZ25" s="101"/>
      <c r="DA25" s="101"/>
      <c r="DB25" s="101"/>
      <c r="DC25" s="101"/>
      <c r="DD25" s="101"/>
      <c r="DE25" s="101"/>
      <c r="DF25" s="101"/>
      <c r="DG25" s="101"/>
      <c r="DH25" s="101"/>
      <c r="DI25" s="101"/>
      <c r="DJ25" s="101"/>
      <c r="DK25" s="101"/>
      <c r="DL25" s="101"/>
      <c r="DM25" s="101"/>
      <c r="DN25" s="101"/>
      <c r="DO25" s="101"/>
      <c r="DP25" s="101"/>
      <c r="DQ25" s="101"/>
      <c r="DR25" s="101"/>
      <c r="DS25" s="101"/>
      <c r="DT25" s="101"/>
      <c r="DU25" s="101"/>
      <c r="DV25" s="101"/>
      <c r="DW25" s="101"/>
      <c r="DX25" s="101"/>
      <c r="DY25" s="101"/>
      <c r="DZ25" s="101"/>
      <c r="EA25" s="101"/>
      <c r="EB25" s="101"/>
      <c r="EC25" s="101"/>
      <c r="ED25" s="101"/>
      <c r="EE25" s="101"/>
      <c r="EF25" s="101"/>
      <c r="EG25" s="101"/>
      <c r="EH25" s="101"/>
      <c r="EI25" s="101"/>
      <c r="EJ25" s="101"/>
      <c r="EK25" s="101"/>
      <c r="EL25" s="101"/>
      <c r="EM25" s="101"/>
      <c r="EN25" s="101"/>
      <c r="EO25" s="101"/>
      <c r="EP25" s="101"/>
      <c r="EQ25" s="101"/>
      <c r="ER25" s="101"/>
      <c r="ES25" s="101"/>
      <c r="ET25" s="101"/>
      <c r="EU25" s="101"/>
      <c r="EV25" s="101"/>
      <c r="EW25" s="101"/>
      <c r="EX25" s="101"/>
      <c r="EY25" s="101"/>
      <c r="EZ25" s="101"/>
      <c r="FA25" s="101"/>
      <c r="FB25" s="101"/>
      <c r="FC25" s="101"/>
      <c r="FD25" s="101"/>
      <c r="FE25" s="101"/>
      <c r="FF25" s="101"/>
      <c r="FG25" s="101"/>
      <c r="FH25" s="101"/>
      <c r="FI25" s="101"/>
      <c r="FJ25" s="101"/>
      <c r="FK25" s="101"/>
      <c r="FL25" s="101"/>
      <c r="FM25" s="101"/>
      <c r="FN25" s="101"/>
      <c r="FO25" s="101"/>
      <c r="FP25" s="101"/>
      <c r="FQ25" s="101"/>
      <c r="FR25" s="101"/>
      <c r="FS25" s="101"/>
      <c r="FT25" s="101"/>
      <c r="FU25" s="101"/>
      <c r="FV25" s="101"/>
      <c r="FW25" s="101"/>
      <c r="FX25" s="101"/>
      <c r="FY25" s="101"/>
      <c r="FZ25" s="101"/>
      <c r="GA25" s="101"/>
      <c r="GB25" s="101"/>
      <c r="GC25" s="101"/>
      <c r="GD25" s="101"/>
      <c r="GE25" s="101"/>
      <c r="GF25" s="101"/>
      <c r="GG25" s="101"/>
      <c r="GH25" s="101"/>
      <c r="GI25" s="101"/>
      <c r="GJ25" s="101"/>
      <c r="GK25" s="101"/>
      <c r="GL25" s="101"/>
      <c r="GM25" s="101"/>
      <c r="GN25" s="101"/>
      <c r="GO25" s="101"/>
      <c r="GP25" s="101"/>
      <c r="GQ25" s="101"/>
      <c r="GR25" s="101"/>
      <c r="GS25" s="101"/>
      <c r="GT25" s="101"/>
      <c r="GU25" s="101"/>
      <c r="GV25" s="101"/>
      <c r="GW25" s="101"/>
      <c r="GX25" s="101"/>
      <c r="GY25" s="101"/>
      <c r="GZ25" s="101"/>
      <c r="HA25" s="101"/>
      <c r="HB25" s="101"/>
      <c r="HC25" s="101"/>
      <c r="HD25" s="101"/>
      <c r="HE25" s="101"/>
      <c r="HF25" s="101"/>
      <c r="HG25" s="101"/>
      <c r="HH25" s="101"/>
      <c r="HI25" s="101"/>
      <c r="HJ25" s="101"/>
      <c r="HK25" s="101"/>
      <c r="HL25" s="101"/>
      <c r="HM25" s="101"/>
      <c r="HN25" s="101"/>
      <c r="HO25" s="101"/>
      <c r="HP25" s="101"/>
      <c r="HQ25" s="101"/>
      <c r="HR25" s="101"/>
      <c r="HS25" s="101"/>
      <c r="HT25" s="101"/>
      <c r="HU25" s="101"/>
      <c r="HV25" s="101"/>
      <c r="HW25" s="101"/>
      <c r="HX25" s="101"/>
      <c r="HY25" s="101"/>
      <c r="HZ25" s="101"/>
      <c r="IA25" s="101"/>
      <c r="IB25" s="101"/>
      <c r="IC25" s="101"/>
      <c r="ID25" s="101"/>
      <c r="IE25" s="101"/>
      <c r="IF25" s="101"/>
      <c r="IG25" s="101"/>
      <c r="IH25" s="101"/>
      <c r="II25" s="101"/>
      <c r="IJ25" s="101"/>
      <c r="IK25" s="101"/>
      <c r="IL25" s="101"/>
      <c r="XDW25" s="101"/>
      <c r="XDX25" s="101"/>
      <c r="XDY25" s="101"/>
      <c r="XDZ25" s="101"/>
      <c r="XEA25" s="101"/>
      <c r="XEB25" s="101"/>
      <c r="XEC25" s="101"/>
      <c r="XED25" s="101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  <c r="XER25" s="13"/>
      <c r="XES25" s="13"/>
      <c r="XET25" s="13"/>
      <c r="XEU25" s="13"/>
      <c r="XEV25" s="13"/>
      <c r="XEW25" s="13"/>
      <c r="XEX25" s="13"/>
      <c r="XEY25" s="13"/>
      <c r="XEZ25" s="13"/>
      <c r="XFA25" s="13"/>
      <c r="XFB25" s="13"/>
      <c r="XFC25" s="13"/>
      <c r="XFD25" s="13"/>
    </row>
    <row r="26" s="1" customFormat="1" ht="25" customHeight="1" spans="1:16384">
      <c r="A26" s="157"/>
      <c r="B26" s="141"/>
      <c r="C26" s="164">
        <v>7</v>
      </c>
      <c r="D26" s="45" t="s">
        <v>48</v>
      </c>
      <c r="E26" s="47" t="s">
        <v>158</v>
      </c>
      <c r="F26" s="52" t="s">
        <v>159</v>
      </c>
      <c r="G26" s="52" t="s">
        <v>154</v>
      </c>
      <c r="H26" s="51">
        <v>26000</v>
      </c>
      <c r="I26" s="52">
        <v>13000</v>
      </c>
      <c r="J26" s="52" t="s">
        <v>25</v>
      </c>
      <c r="K26" s="76">
        <v>11061</v>
      </c>
      <c r="L26" s="61">
        <v>10050</v>
      </c>
      <c r="M26" s="61">
        <f t="shared" si="2"/>
        <v>1011</v>
      </c>
      <c r="N26" s="74">
        <f t="shared" si="19"/>
        <v>0.100597014925373</v>
      </c>
      <c r="O26" s="76">
        <f t="shared" si="3"/>
        <v>1939</v>
      </c>
      <c r="P26" s="74">
        <f t="shared" si="18"/>
        <v>0.850846153846154</v>
      </c>
      <c r="Q26" s="74">
        <f t="shared" si="4"/>
        <v>0.425423076923077</v>
      </c>
      <c r="R26" s="61">
        <v>3000</v>
      </c>
      <c r="S26" s="61">
        <v>3000</v>
      </c>
      <c r="T26" s="61">
        <v>4000</v>
      </c>
      <c r="U26" s="61">
        <f t="shared" si="11"/>
        <v>14061</v>
      </c>
      <c r="V26" s="61">
        <v>10333.554159</v>
      </c>
      <c r="W26" s="61"/>
      <c r="X26" s="61">
        <f t="shared" si="13"/>
        <v>21061</v>
      </c>
      <c r="Y26" s="61">
        <v>21000</v>
      </c>
      <c r="Z26" s="194">
        <v>21000</v>
      </c>
      <c r="AA26" s="61">
        <v>14569</v>
      </c>
      <c r="AB26" s="61">
        <f t="shared" si="5"/>
        <v>6431</v>
      </c>
      <c r="AC26" s="122">
        <f t="shared" si="14"/>
        <v>0.44141670670602</v>
      </c>
      <c r="AD26" s="74">
        <f t="shared" si="23"/>
        <v>0.807692307692308</v>
      </c>
      <c r="AE26" s="61">
        <f>K26-I26</f>
        <v>-1939</v>
      </c>
      <c r="AF26" s="52">
        <v>2500</v>
      </c>
      <c r="AG26" s="52">
        <v>100</v>
      </c>
      <c r="AH26" s="52">
        <v>646</v>
      </c>
      <c r="AI26" s="98">
        <v>0</v>
      </c>
      <c r="AJ26" s="52">
        <v>116</v>
      </c>
      <c r="AK26" s="74">
        <f t="shared" si="20"/>
        <v>-0.820433436532508</v>
      </c>
      <c r="AL26" s="74">
        <f>AJ26/AG26</f>
        <v>1.16</v>
      </c>
      <c r="AM26" s="61">
        <v>150</v>
      </c>
      <c r="AN26" s="61">
        <v>150</v>
      </c>
      <c r="AO26" s="61">
        <v>200</v>
      </c>
      <c r="AP26" s="61">
        <f t="shared" si="12"/>
        <v>266</v>
      </c>
      <c r="AQ26" s="61">
        <v>283.9888</v>
      </c>
      <c r="AR26" s="61"/>
      <c r="AS26" s="61">
        <f t="shared" si="16"/>
        <v>616</v>
      </c>
      <c r="AT26" s="61">
        <v>1000</v>
      </c>
      <c r="AU26" s="189">
        <v>1000</v>
      </c>
      <c r="AV26" s="61">
        <v>158</v>
      </c>
      <c r="AW26" s="206">
        <f t="shared" si="21"/>
        <v>842</v>
      </c>
      <c r="AX26" s="74">
        <f t="shared" si="6"/>
        <v>5.32911392405063</v>
      </c>
      <c r="AY26" s="74">
        <f t="shared" si="22"/>
        <v>0.4</v>
      </c>
      <c r="AZ26" s="207"/>
      <c r="BA26" s="208"/>
      <c r="BB26" s="210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/>
      <c r="FK26" s="101"/>
      <c r="FL26" s="101"/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/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/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/>
      <c r="IF26" s="101"/>
      <c r="IG26" s="101"/>
      <c r="IH26" s="101"/>
      <c r="II26" s="101"/>
      <c r="IJ26" s="101"/>
      <c r="IK26" s="101"/>
      <c r="IL26" s="101"/>
      <c r="XDW26" s="101"/>
      <c r="XDX26" s="101"/>
      <c r="XDY26" s="101"/>
      <c r="XDZ26" s="101"/>
      <c r="XEA26" s="101"/>
      <c r="XEB26" s="101"/>
      <c r="XEC26" s="101"/>
      <c r="XED26" s="101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  <c r="XER26" s="13"/>
      <c r="XES26" s="13"/>
      <c r="XET26" s="13"/>
      <c r="XEU26" s="13"/>
      <c r="XEV26" s="13"/>
      <c r="XEW26" s="13"/>
      <c r="XEX26" s="13"/>
      <c r="XEY26" s="13"/>
      <c r="XEZ26" s="13"/>
      <c r="XFA26" s="13"/>
      <c r="XFB26" s="13"/>
      <c r="XFC26" s="13"/>
      <c r="XFD26" s="13"/>
    </row>
    <row r="27" s="1" customFormat="1" ht="25" customHeight="1" spans="1:16384">
      <c r="A27" s="157"/>
      <c r="B27" s="141"/>
      <c r="C27" s="164">
        <v>8</v>
      </c>
      <c r="D27" s="45" t="s">
        <v>44</v>
      </c>
      <c r="E27" s="42" t="s">
        <v>158</v>
      </c>
      <c r="F27" s="51" t="s">
        <v>159</v>
      </c>
      <c r="G27" s="51" t="s">
        <v>154</v>
      </c>
      <c r="H27" s="51">
        <v>2300</v>
      </c>
      <c r="I27" s="52">
        <v>0</v>
      </c>
      <c r="J27" s="51" t="s">
        <v>25</v>
      </c>
      <c r="K27" s="76">
        <v>88</v>
      </c>
      <c r="L27" s="76">
        <v>0</v>
      </c>
      <c r="M27" s="61">
        <f t="shared" si="2"/>
        <v>88</v>
      </c>
      <c r="N27" s="74" t="s">
        <v>25</v>
      </c>
      <c r="O27" s="74" t="s">
        <v>25</v>
      </c>
      <c r="P27" s="74" t="s">
        <v>25</v>
      </c>
      <c r="Q27" s="74">
        <f t="shared" si="4"/>
        <v>0.0382608695652174</v>
      </c>
      <c r="R27" s="61">
        <v>26</v>
      </c>
      <c r="S27" s="61">
        <v>0</v>
      </c>
      <c r="T27" s="61">
        <v>0</v>
      </c>
      <c r="U27" s="61">
        <f t="shared" si="11"/>
        <v>114</v>
      </c>
      <c r="V27" s="61">
        <v>0</v>
      </c>
      <c r="W27" s="61"/>
      <c r="X27" s="61">
        <f t="shared" si="13"/>
        <v>114</v>
      </c>
      <c r="Y27" s="61">
        <v>110</v>
      </c>
      <c r="Z27" s="189">
        <v>110</v>
      </c>
      <c r="AA27" s="61">
        <v>0</v>
      </c>
      <c r="AB27" s="61">
        <f t="shared" si="5"/>
        <v>110</v>
      </c>
      <c r="AC27" s="98">
        <v>0</v>
      </c>
      <c r="AD27" s="74">
        <f t="shared" si="23"/>
        <v>0.0478260869565217</v>
      </c>
      <c r="AE27" s="61"/>
      <c r="AF27" s="52">
        <v>-4600</v>
      </c>
      <c r="AG27" s="52">
        <v>-2100</v>
      </c>
      <c r="AH27" s="52">
        <v>-730</v>
      </c>
      <c r="AI27" s="98">
        <v>0</v>
      </c>
      <c r="AJ27" s="52">
        <v>-969</v>
      </c>
      <c r="AK27" s="74">
        <f t="shared" si="20"/>
        <v>-0.327397260273973</v>
      </c>
      <c r="AL27" s="74" t="s">
        <v>25</v>
      </c>
      <c r="AM27" s="61">
        <v>-500</v>
      </c>
      <c r="AN27" s="61">
        <v>-300</v>
      </c>
      <c r="AO27" s="61">
        <v>-300</v>
      </c>
      <c r="AP27" s="61">
        <f t="shared" si="12"/>
        <v>-1469</v>
      </c>
      <c r="AQ27" s="61">
        <v>-868.485172</v>
      </c>
      <c r="AR27" s="61"/>
      <c r="AS27" s="61">
        <f t="shared" si="16"/>
        <v>-2069</v>
      </c>
      <c r="AT27" s="61">
        <v>-2000</v>
      </c>
      <c r="AU27" s="189">
        <v>-2000</v>
      </c>
      <c r="AV27" s="61">
        <v>-1236</v>
      </c>
      <c r="AW27" s="206">
        <f t="shared" si="21"/>
        <v>-764</v>
      </c>
      <c r="AX27" s="74">
        <f t="shared" si="6"/>
        <v>-0.618122977346278</v>
      </c>
      <c r="AY27" s="74">
        <f t="shared" si="22"/>
        <v>0.434782608695652</v>
      </c>
      <c r="AZ27" s="207"/>
      <c r="BA27" s="208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  <c r="XER27" s="13"/>
      <c r="XES27" s="13"/>
      <c r="XET27" s="13"/>
      <c r="XEU27" s="13"/>
      <c r="XEV27" s="13"/>
      <c r="XEW27" s="13"/>
      <c r="XEX27" s="13"/>
      <c r="XEY27" s="13"/>
      <c r="XEZ27" s="13"/>
      <c r="XFA27" s="13"/>
      <c r="XFB27" s="13"/>
      <c r="XFC27" s="13"/>
      <c r="XFD27" s="13"/>
    </row>
    <row r="28" s="3" customFormat="1" ht="25" hidden="1" customHeight="1" outlineLevel="1" spans="1:16384">
      <c r="A28" s="157" t="s">
        <v>5</v>
      </c>
      <c r="B28" s="141"/>
      <c r="C28" s="168"/>
      <c r="D28" s="169" t="s">
        <v>156</v>
      </c>
      <c r="E28" s="170"/>
      <c r="F28" s="171"/>
      <c r="G28" s="171"/>
      <c r="H28" s="51">
        <f t="shared" ref="H28:L28" si="24">H29+H34+H37+H33</f>
        <v>459000</v>
      </c>
      <c r="I28" s="170">
        <f t="shared" si="24"/>
        <v>186500</v>
      </c>
      <c r="J28" s="170" t="s">
        <v>25</v>
      </c>
      <c r="K28" s="170">
        <f t="shared" si="24"/>
        <v>156006</v>
      </c>
      <c r="L28" s="170">
        <f t="shared" si="24"/>
        <v>153966</v>
      </c>
      <c r="M28" s="170"/>
      <c r="N28" s="179">
        <f t="shared" si="19"/>
        <v>0.0132496785004481</v>
      </c>
      <c r="O28" s="180">
        <f>I28-K28</f>
        <v>30494</v>
      </c>
      <c r="P28" s="179">
        <f>K28/I28</f>
        <v>0.836493297587131</v>
      </c>
      <c r="Q28" s="188">
        <f t="shared" si="4"/>
        <v>0.339882352941176</v>
      </c>
      <c r="R28" s="170">
        <f t="shared" ref="R28:U28" si="25">R29+R34+R37+R33</f>
        <v>29366</v>
      </c>
      <c r="S28" s="170">
        <f t="shared" si="25"/>
        <v>33190</v>
      </c>
      <c r="T28" s="170">
        <f t="shared" si="25"/>
        <v>33940</v>
      </c>
      <c r="U28" s="170">
        <f t="shared" si="25"/>
        <v>185372</v>
      </c>
      <c r="V28" s="189"/>
      <c r="W28" s="189"/>
      <c r="X28" s="170">
        <f>X29+X34+X37+X33</f>
        <v>252502</v>
      </c>
      <c r="Y28" s="170">
        <f>Y29+Y34+Y37+Y33</f>
        <v>262820</v>
      </c>
      <c r="Z28" s="170">
        <f>Z29+Z34+Z37+Z33</f>
        <v>247820</v>
      </c>
      <c r="AA28" s="170">
        <f>AA29+AA34+AA37+AA33</f>
        <v>248146</v>
      </c>
      <c r="AB28" s="170">
        <f t="shared" si="5"/>
        <v>14674</v>
      </c>
      <c r="AC28" s="179">
        <f>Y28/AA28-1</f>
        <v>0.0591345417617049</v>
      </c>
      <c r="AD28" s="179">
        <f t="shared" si="23"/>
        <v>0.572592592592593</v>
      </c>
      <c r="AE28" s="182">
        <f t="shared" ref="AE28:AH28" si="26">AE29+AE34+AE37+AE33</f>
        <v>-47318</v>
      </c>
      <c r="AF28" s="170">
        <f t="shared" si="26"/>
        <v>19300</v>
      </c>
      <c r="AG28" s="170">
        <f t="shared" si="26"/>
        <v>6060</v>
      </c>
      <c r="AH28" s="170">
        <f t="shared" si="26"/>
        <v>3899</v>
      </c>
      <c r="AI28" s="170" t="s">
        <v>25</v>
      </c>
      <c r="AJ28" s="182">
        <f t="shared" ref="AJ28:AP28" si="27">AJ29+AJ34+AJ37+AJ33</f>
        <v>3482</v>
      </c>
      <c r="AK28" s="179">
        <f t="shared" si="20"/>
        <v>-0.106950500128238</v>
      </c>
      <c r="AL28" s="179">
        <f>AJ28/AG28</f>
        <v>0.574587458745875</v>
      </c>
      <c r="AM28" s="170">
        <f t="shared" si="27"/>
        <v>798</v>
      </c>
      <c r="AN28" s="170">
        <f t="shared" si="27"/>
        <v>1665</v>
      </c>
      <c r="AO28" s="170">
        <f t="shared" si="27"/>
        <v>1429</v>
      </c>
      <c r="AP28" s="170">
        <f t="shared" si="27"/>
        <v>4280</v>
      </c>
      <c r="AQ28" s="189"/>
      <c r="AR28" s="189"/>
      <c r="AS28" s="199">
        <f>AS29+AS34+AS37+AS33</f>
        <v>7531</v>
      </c>
      <c r="AT28" s="199">
        <f>AT29+AT34+AT37+AT33</f>
        <v>3200</v>
      </c>
      <c r="AU28" s="199">
        <f>AU29+AU34+AU37+AU33</f>
        <v>8400</v>
      </c>
      <c r="AV28" s="199">
        <f>AV29+AV34+AV37+AV33</f>
        <v>6759.47</v>
      </c>
      <c r="AW28" s="212">
        <f t="shared" si="21"/>
        <v>-3559.47</v>
      </c>
      <c r="AX28" s="179">
        <f t="shared" si="6"/>
        <v>-0.526590102478449</v>
      </c>
      <c r="AY28" s="74">
        <f t="shared" si="22"/>
        <v>0.16580310880829</v>
      </c>
      <c r="AZ28" s="207"/>
      <c r="BA28" s="208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XDW28" s="107"/>
      <c r="XDX28" s="107"/>
      <c r="XDY28" s="107"/>
      <c r="XDZ28" s="107"/>
      <c r="XEA28" s="107"/>
      <c r="XEB28" s="107"/>
      <c r="XEC28" s="107"/>
      <c r="XED28" s="107"/>
      <c r="XEE28" s="107"/>
      <c r="XEF28" s="107"/>
      <c r="XEG28" s="107"/>
      <c r="XEH28" s="107"/>
      <c r="XEI28" s="107"/>
      <c r="XEJ28" s="107"/>
      <c r="XEK28" s="107"/>
      <c r="XEL28" s="107"/>
      <c r="XEM28" s="107"/>
      <c r="XEN28" s="107"/>
      <c r="XEO28" s="107"/>
      <c r="XEP28" s="107"/>
      <c r="XEQ28" s="107"/>
      <c r="XER28" s="107"/>
      <c r="XES28" s="107"/>
      <c r="XET28" s="107"/>
      <c r="XEU28" s="107"/>
      <c r="XEV28" s="107"/>
      <c r="XEW28" s="107"/>
      <c r="XEX28" s="107"/>
      <c r="XEY28" s="107"/>
      <c r="XEZ28" s="107"/>
      <c r="XFA28" s="107"/>
      <c r="XFB28" s="107"/>
      <c r="XFC28" s="107"/>
      <c r="XFD28" s="107"/>
    </row>
    <row r="29" s="1" customFormat="1" ht="25" customHeight="1" collapsed="1" spans="1:16384">
      <c r="A29" s="157"/>
      <c r="B29" s="141"/>
      <c r="C29" s="164">
        <v>9</v>
      </c>
      <c r="D29" s="45" t="s">
        <v>166</v>
      </c>
      <c r="E29" s="47" t="s">
        <v>167</v>
      </c>
      <c r="F29" s="51" t="s">
        <v>159</v>
      </c>
      <c r="G29" s="51" t="s">
        <v>154</v>
      </c>
      <c r="H29" s="51">
        <v>350000</v>
      </c>
      <c r="I29" s="52">
        <v>140000</v>
      </c>
      <c r="J29" s="51">
        <v>157500</v>
      </c>
      <c r="K29" s="52">
        <f>K30+K31</f>
        <v>117639</v>
      </c>
      <c r="L29" s="76">
        <f>L30+L31</f>
        <v>114383</v>
      </c>
      <c r="M29" s="61">
        <f t="shared" ref="M29:M37" si="28">K29-L29</f>
        <v>3256</v>
      </c>
      <c r="N29" s="74">
        <f t="shared" si="19"/>
        <v>0.028465768514552</v>
      </c>
      <c r="O29" s="76">
        <f>J29-K29</f>
        <v>39861</v>
      </c>
      <c r="P29" s="74">
        <f>K29/I29</f>
        <v>0.840278571428571</v>
      </c>
      <c r="Q29" s="74">
        <f t="shared" si="4"/>
        <v>0.336111428571429</v>
      </c>
      <c r="R29" s="61">
        <f t="shared" ref="R29:T29" si="29">R30+R31</f>
        <v>22116</v>
      </c>
      <c r="S29" s="61">
        <f t="shared" si="29"/>
        <v>23160</v>
      </c>
      <c r="T29" s="61">
        <f t="shared" si="29"/>
        <v>25640</v>
      </c>
      <c r="U29" s="61">
        <f t="shared" ref="U29:U37" si="30">K29+R29</f>
        <v>139755</v>
      </c>
      <c r="V29" s="61"/>
      <c r="W29" s="61"/>
      <c r="X29" s="61">
        <f>X30+X31</f>
        <v>188555</v>
      </c>
      <c r="Y29" s="61">
        <f>Y30+Y31</f>
        <v>204000</v>
      </c>
      <c r="Z29" s="189">
        <f>Z30+Z31</f>
        <v>191000</v>
      </c>
      <c r="AA29" s="61">
        <f>AA30+AA31</f>
        <v>186705</v>
      </c>
      <c r="AB29" s="61">
        <f t="shared" si="5"/>
        <v>17295</v>
      </c>
      <c r="AC29" s="122">
        <f>Y29/AA29-1</f>
        <v>0.0926327629147585</v>
      </c>
      <c r="AD29" s="74">
        <f t="shared" si="23"/>
        <v>0.582857142857143</v>
      </c>
      <c r="AE29" s="61">
        <f>K29-J29</f>
        <v>-39861</v>
      </c>
      <c r="AF29" s="52">
        <v>7300</v>
      </c>
      <c r="AG29" s="52">
        <v>3400</v>
      </c>
      <c r="AH29" s="76">
        <f t="shared" ref="AH29:AO29" si="31">AH30+AH31</f>
        <v>2135</v>
      </c>
      <c r="AI29" s="52">
        <v>3400</v>
      </c>
      <c r="AJ29" s="76">
        <f>AJ30+AJ31+AJ32</f>
        <v>1732</v>
      </c>
      <c r="AK29" s="74">
        <f t="shared" si="20"/>
        <v>-0.188758782201405</v>
      </c>
      <c r="AL29" s="74">
        <f>AJ29/AG29</f>
        <v>0.509411764705882</v>
      </c>
      <c r="AM29" s="52">
        <f t="shared" si="31"/>
        <v>363</v>
      </c>
      <c r="AN29" s="52">
        <f t="shared" si="31"/>
        <v>378</v>
      </c>
      <c r="AO29" s="52">
        <f t="shared" si="31"/>
        <v>393</v>
      </c>
      <c r="AP29" s="61">
        <f t="shared" ref="AP29:AP37" si="32">AJ29+AM29</f>
        <v>2095</v>
      </c>
      <c r="AQ29" s="61"/>
      <c r="AR29" s="61"/>
      <c r="AS29" s="61">
        <f t="shared" ref="AS29:AS36" si="33">AJ29+AM29+AN29+AO29</f>
        <v>2866</v>
      </c>
      <c r="AT29" s="61">
        <f>AT30+AT31+AT32</f>
        <v>-1000</v>
      </c>
      <c r="AU29" s="189">
        <f>AU30+AU31</f>
        <v>5000</v>
      </c>
      <c r="AV29" s="61">
        <f>AV30+AV31</f>
        <v>3710</v>
      </c>
      <c r="AW29" s="206">
        <f t="shared" si="21"/>
        <v>-4710</v>
      </c>
      <c r="AX29" s="74">
        <f t="shared" si="6"/>
        <v>-1.26954177897574</v>
      </c>
      <c r="AY29" s="74" t="s">
        <v>25</v>
      </c>
      <c r="AZ29" s="213" t="s">
        <v>168</v>
      </c>
      <c r="BA29" s="21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  <c r="XER29" s="13"/>
      <c r="XES29" s="13"/>
      <c r="XET29" s="13"/>
      <c r="XEU29" s="13"/>
      <c r="XEV29" s="13"/>
      <c r="XEW29" s="13"/>
      <c r="XEX29" s="13"/>
      <c r="XEY29" s="13"/>
      <c r="XEZ29" s="13"/>
      <c r="XFA29" s="13"/>
      <c r="XFB29" s="13"/>
      <c r="XFC29" s="13"/>
      <c r="XFD29" s="13"/>
    </row>
    <row r="30" s="1" customFormat="1" ht="25" hidden="1" customHeight="1" outlineLevel="2" spans="1:16384">
      <c r="A30" s="157"/>
      <c r="B30" s="141"/>
      <c r="C30" s="165" t="s">
        <v>169</v>
      </c>
      <c r="D30" s="45" t="s">
        <v>170</v>
      </c>
      <c r="E30" s="52"/>
      <c r="F30" s="52"/>
      <c r="G30" s="52"/>
      <c r="H30" s="51">
        <v>250000</v>
      </c>
      <c r="I30" s="52">
        <v>95000</v>
      </c>
      <c r="J30" s="51">
        <v>101000</v>
      </c>
      <c r="K30" s="76">
        <v>80000</v>
      </c>
      <c r="L30" s="61">
        <v>80603</v>
      </c>
      <c r="M30" s="61">
        <f t="shared" si="28"/>
        <v>-603</v>
      </c>
      <c r="N30" s="74">
        <f t="shared" si="19"/>
        <v>-0.00748111112489613</v>
      </c>
      <c r="O30" s="76">
        <f>J30-K30</f>
        <v>21000</v>
      </c>
      <c r="P30" s="74">
        <f>K30/I30</f>
        <v>0.842105263157895</v>
      </c>
      <c r="Q30" s="74">
        <f t="shared" si="4"/>
        <v>0.32</v>
      </c>
      <c r="R30" s="61">
        <v>16000</v>
      </c>
      <c r="S30" s="61">
        <v>16000</v>
      </c>
      <c r="T30" s="61">
        <v>17000</v>
      </c>
      <c r="U30" s="61">
        <f t="shared" si="30"/>
        <v>96000</v>
      </c>
      <c r="V30" s="61"/>
      <c r="W30" s="61"/>
      <c r="X30" s="61">
        <f t="shared" ref="X30:X37" si="34">K30+R30+S30+T30</f>
        <v>129000</v>
      </c>
      <c r="Y30" s="61">
        <v>140000</v>
      </c>
      <c r="Z30" s="189">
        <v>130000</v>
      </c>
      <c r="AA30" s="61">
        <v>130050</v>
      </c>
      <c r="AB30" s="61">
        <f t="shared" si="5"/>
        <v>9950</v>
      </c>
      <c r="AC30" s="122">
        <f>Y30/AA30-1</f>
        <v>0.0765090349865436</v>
      </c>
      <c r="AD30" s="74">
        <f t="shared" si="23"/>
        <v>0.56</v>
      </c>
      <c r="AE30" s="61"/>
      <c r="AF30" s="52">
        <v>3400</v>
      </c>
      <c r="AG30" s="52">
        <v>1250</v>
      </c>
      <c r="AH30" s="76">
        <f>919-174</f>
        <v>745</v>
      </c>
      <c r="AI30" s="98">
        <v>0</v>
      </c>
      <c r="AJ30" s="196">
        <v>1500</v>
      </c>
      <c r="AK30" s="74">
        <f t="shared" si="20"/>
        <v>1.01342281879195</v>
      </c>
      <c r="AL30" s="74">
        <f>AJ30/AG30</f>
        <v>1.2</v>
      </c>
      <c r="AM30" s="61">
        <v>100</v>
      </c>
      <c r="AN30" s="61">
        <v>100</v>
      </c>
      <c r="AO30" s="61">
        <v>100</v>
      </c>
      <c r="AP30" s="61">
        <f t="shared" si="32"/>
        <v>1600</v>
      </c>
      <c r="AQ30" s="61"/>
      <c r="AR30" s="61"/>
      <c r="AS30" s="61">
        <f t="shared" si="33"/>
        <v>1800</v>
      </c>
      <c r="AT30" s="61">
        <v>2000</v>
      </c>
      <c r="AU30" s="189">
        <v>2000</v>
      </c>
      <c r="AV30" s="61">
        <f>1569-174</f>
        <v>1395</v>
      </c>
      <c r="AW30" s="206">
        <f t="shared" si="21"/>
        <v>605</v>
      </c>
      <c r="AX30" s="74">
        <f t="shared" si="6"/>
        <v>0.433691756272401</v>
      </c>
      <c r="AY30" s="74">
        <f t="shared" si="22"/>
        <v>0.588235294117647</v>
      </c>
      <c r="AZ30" s="207"/>
      <c r="BA30" s="208"/>
      <c r="BB30" s="210"/>
      <c r="BC30" s="101"/>
      <c r="BD30" s="101"/>
      <c r="BE30" s="101"/>
      <c r="BF30" s="101"/>
      <c r="BG30" s="104"/>
      <c r="BH30" s="104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  <c r="CT30" s="101"/>
      <c r="CU30" s="101"/>
      <c r="CV30" s="101"/>
      <c r="CW30" s="101"/>
      <c r="CX30" s="101"/>
      <c r="CY30" s="101"/>
      <c r="CZ30" s="101"/>
      <c r="DA30" s="101"/>
      <c r="DB30" s="101"/>
      <c r="DC30" s="101"/>
      <c r="DD30" s="101"/>
      <c r="DE30" s="101"/>
      <c r="DF30" s="101"/>
      <c r="DG30" s="101"/>
      <c r="DH30" s="101"/>
      <c r="DI30" s="101"/>
      <c r="DJ30" s="101"/>
      <c r="DK30" s="101"/>
      <c r="DL30" s="101"/>
      <c r="DM30" s="101"/>
      <c r="DN30" s="101"/>
      <c r="DO30" s="101"/>
      <c r="DP30" s="101"/>
      <c r="DQ30" s="101"/>
      <c r="DR30" s="101"/>
      <c r="DS30" s="101"/>
      <c r="DT30" s="101"/>
      <c r="DU30" s="101"/>
      <c r="DV30" s="101"/>
      <c r="DW30" s="101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1"/>
      <c r="EN30" s="101"/>
      <c r="EO30" s="101"/>
      <c r="EP30" s="101"/>
      <c r="EQ30" s="101"/>
      <c r="ER30" s="101"/>
      <c r="ES30" s="101"/>
      <c r="ET30" s="101"/>
      <c r="EU30" s="101"/>
      <c r="EV30" s="101"/>
      <c r="EW30" s="101"/>
      <c r="EX30" s="101"/>
      <c r="EY30" s="101"/>
      <c r="EZ30" s="101"/>
      <c r="FA30" s="101"/>
      <c r="FB30" s="101"/>
      <c r="FC30" s="101"/>
      <c r="FD30" s="101"/>
      <c r="FE30" s="101"/>
      <c r="FF30" s="101"/>
      <c r="FG30" s="101"/>
      <c r="FH30" s="101"/>
      <c r="FI30" s="101"/>
      <c r="FJ30" s="101"/>
      <c r="FK30" s="101"/>
      <c r="FL30" s="101"/>
      <c r="FM30" s="101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101"/>
      <c r="GB30" s="101"/>
      <c r="GC30" s="101"/>
      <c r="GD30" s="101"/>
      <c r="GE30" s="101"/>
      <c r="GF30" s="101"/>
      <c r="GG30" s="101"/>
      <c r="GH30" s="101"/>
      <c r="GI30" s="101"/>
      <c r="GJ30" s="101"/>
      <c r="GK30" s="101"/>
      <c r="GL30" s="101"/>
      <c r="GM30" s="101"/>
      <c r="GN30" s="101"/>
      <c r="GO30" s="101"/>
      <c r="GP30" s="101"/>
      <c r="GQ30" s="101"/>
      <c r="GR30" s="101"/>
      <c r="GS30" s="101"/>
      <c r="GT30" s="101"/>
      <c r="GU30" s="101"/>
      <c r="GV30" s="101"/>
      <c r="GW30" s="101"/>
      <c r="GX30" s="101"/>
      <c r="GY30" s="101"/>
      <c r="GZ30" s="101"/>
      <c r="HA30" s="101"/>
      <c r="HB30" s="101"/>
      <c r="HC30" s="101"/>
      <c r="HD30" s="101"/>
      <c r="HE30" s="101"/>
      <c r="HF30" s="101"/>
      <c r="HG30" s="101"/>
      <c r="HH30" s="101"/>
      <c r="HI30" s="101"/>
      <c r="HJ30" s="101"/>
      <c r="HK30" s="101"/>
      <c r="HL30" s="101"/>
      <c r="HM30" s="101"/>
      <c r="HN30" s="101"/>
      <c r="HO30" s="101"/>
      <c r="HP30" s="101"/>
      <c r="HQ30" s="101"/>
      <c r="HR30" s="101"/>
      <c r="HS30" s="101"/>
      <c r="HT30" s="101"/>
      <c r="HU30" s="101"/>
      <c r="HV30" s="101"/>
      <c r="HW30" s="101"/>
      <c r="HX30" s="101"/>
      <c r="HY30" s="101"/>
      <c r="HZ30" s="101"/>
      <c r="IA30" s="101"/>
      <c r="IB30" s="101"/>
      <c r="IC30" s="101"/>
      <c r="ID30" s="101"/>
      <c r="IE30" s="101"/>
      <c r="IF30" s="101"/>
      <c r="IG30" s="101"/>
      <c r="IH30" s="101"/>
      <c r="II30" s="101"/>
      <c r="IJ30" s="101"/>
      <c r="IK30" s="101"/>
      <c r="IL30" s="101"/>
      <c r="XDW30" s="101"/>
      <c r="XDX30" s="101"/>
      <c r="XDY30" s="101"/>
      <c r="XDZ30" s="101"/>
      <c r="XEA30" s="101"/>
      <c r="XEB30" s="101"/>
      <c r="XEC30" s="101"/>
      <c r="XED30" s="101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  <c r="XER30" s="13"/>
      <c r="XES30" s="13"/>
      <c r="XET30" s="13"/>
      <c r="XEU30" s="13"/>
      <c r="XEV30" s="13"/>
      <c r="XEW30" s="13"/>
      <c r="XEX30" s="13"/>
      <c r="XEY30" s="13"/>
      <c r="XEZ30" s="13"/>
      <c r="XFA30" s="13"/>
      <c r="XFB30" s="13"/>
      <c r="XFC30" s="13"/>
      <c r="XFD30" s="13"/>
    </row>
    <row r="31" s="1" customFormat="1" ht="25" hidden="1" customHeight="1" outlineLevel="2" spans="1:16384">
      <c r="A31" s="157"/>
      <c r="B31" s="141"/>
      <c r="C31" s="165" t="s">
        <v>171</v>
      </c>
      <c r="D31" s="45" t="s">
        <v>172</v>
      </c>
      <c r="E31" s="52"/>
      <c r="F31" s="52"/>
      <c r="G31" s="52"/>
      <c r="H31" s="51">
        <v>106000</v>
      </c>
      <c r="I31" s="52">
        <v>45000</v>
      </c>
      <c r="J31" s="51">
        <v>57500</v>
      </c>
      <c r="K31" s="76">
        <v>37639</v>
      </c>
      <c r="L31" s="61">
        <v>33780</v>
      </c>
      <c r="M31" s="61">
        <f t="shared" si="28"/>
        <v>3859</v>
      </c>
      <c r="N31" s="74">
        <f t="shared" si="19"/>
        <v>0.114239194789816</v>
      </c>
      <c r="O31" s="76">
        <f>J31-K31</f>
        <v>19861</v>
      </c>
      <c r="P31" s="74">
        <f>K31/I31</f>
        <v>0.836422222222222</v>
      </c>
      <c r="Q31" s="74">
        <f t="shared" si="4"/>
        <v>0.355084905660377</v>
      </c>
      <c r="R31" s="61">
        <f>6366-R80</f>
        <v>6116</v>
      </c>
      <c r="S31" s="61">
        <f>7410-S80</f>
        <v>7160</v>
      </c>
      <c r="T31" s="61">
        <f>8890-T80</f>
        <v>8640</v>
      </c>
      <c r="U31" s="61">
        <f t="shared" si="30"/>
        <v>43755</v>
      </c>
      <c r="V31" s="61"/>
      <c r="W31" s="61"/>
      <c r="X31" s="61">
        <f t="shared" si="34"/>
        <v>59555</v>
      </c>
      <c r="Y31" s="61">
        <v>64000</v>
      </c>
      <c r="Z31" s="189">
        <v>61000</v>
      </c>
      <c r="AA31" s="61">
        <f>59396-AA80</f>
        <v>56655</v>
      </c>
      <c r="AB31" s="61">
        <f t="shared" si="5"/>
        <v>7345</v>
      </c>
      <c r="AC31" s="122">
        <f>Y31/AA31-1</f>
        <v>0.129644338540288</v>
      </c>
      <c r="AD31" s="74">
        <f t="shared" si="23"/>
        <v>0.60377358490566</v>
      </c>
      <c r="AE31" s="61"/>
      <c r="AF31" s="52">
        <v>3900</v>
      </c>
      <c r="AG31" s="52">
        <v>2150</v>
      </c>
      <c r="AH31" s="76">
        <v>1390</v>
      </c>
      <c r="AI31" s="98">
        <v>0</v>
      </c>
      <c r="AJ31" s="76">
        <v>2137</v>
      </c>
      <c r="AK31" s="74">
        <f t="shared" si="20"/>
        <v>0.537410071942446</v>
      </c>
      <c r="AL31" s="74">
        <f>AJ31/AG31</f>
        <v>0.993953488372093</v>
      </c>
      <c r="AM31" s="61">
        <f>408-AM80</f>
        <v>263</v>
      </c>
      <c r="AN31" s="61">
        <f>423-AN80</f>
        <v>278</v>
      </c>
      <c r="AO31" s="61">
        <f>438-AO80</f>
        <v>293</v>
      </c>
      <c r="AP31" s="61">
        <f t="shared" si="32"/>
        <v>2400</v>
      </c>
      <c r="AQ31" s="61"/>
      <c r="AR31" s="61"/>
      <c r="AS31" s="61">
        <f t="shared" si="33"/>
        <v>2971</v>
      </c>
      <c r="AT31" s="61">
        <v>3000</v>
      </c>
      <c r="AU31" s="194">
        <v>3000</v>
      </c>
      <c r="AV31" s="61">
        <f>4065-AV80</f>
        <v>2315</v>
      </c>
      <c r="AW31" s="206">
        <f t="shared" si="21"/>
        <v>685</v>
      </c>
      <c r="AX31" s="74">
        <f t="shared" si="6"/>
        <v>0.295896328293737</v>
      </c>
      <c r="AY31" s="74">
        <f t="shared" si="22"/>
        <v>0.769230769230769</v>
      </c>
      <c r="AZ31" s="207"/>
      <c r="BA31" s="208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  <c r="XER31" s="13"/>
      <c r="XES31" s="13"/>
      <c r="XET31" s="13"/>
      <c r="XEU31" s="13"/>
      <c r="XEV31" s="13"/>
      <c r="XEW31" s="13"/>
      <c r="XEX31" s="13"/>
      <c r="XEY31" s="13"/>
      <c r="XEZ31" s="13"/>
      <c r="XFA31" s="13"/>
      <c r="XFB31" s="13"/>
      <c r="XFC31" s="13"/>
      <c r="XFD31" s="13"/>
    </row>
    <row r="32" s="1" customFormat="1" ht="25" hidden="1" customHeight="1" collapsed="1" spans="1:16384">
      <c r="A32" s="157"/>
      <c r="B32" s="141"/>
      <c r="C32" s="172" t="s">
        <v>25</v>
      </c>
      <c r="D32" s="56" t="s">
        <v>173</v>
      </c>
      <c r="E32" s="47" t="s">
        <v>174</v>
      </c>
      <c r="F32" s="51" t="s">
        <v>159</v>
      </c>
      <c r="G32" s="51"/>
      <c r="H32" s="51">
        <v>10000</v>
      </c>
      <c r="I32" s="52">
        <v>0</v>
      </c>
      <c r="J32" s="79">
        <v>0</v>
      </c>
      <c r="K32" s="76">
        <v>16</v>
      </c>
      <c r="L32" s="61">
        <v>0</v>
      </c>
      <c r="M32" s="61">
        <f t="shared" si="28"/>
        <v>16</v>
      </c>
      <c r="N32" s="74" t="s">
        <v>25</v>
      </c>
      <c r="O32" s="74" t="s">
        <v>25</v>
      </c>
      <c r="P32" s="74" t="s">
        <v>25</v>
      </c>
      <c r="Q32" s="74">
        <f t="shared" si="4"/>
        <v>0.0016</v>
      </c>
      <c r="R32" s="61">
        <v>89</v>
      </c>
      <c r="S32" s="61">
        <v>336</v>
      </c>
      <c r="T32" s="61">
        <v>325</v>
      </c>
      <c r="U32" s="61">
        <f t="shared" si="30"/>
        <v>105</v>
      </c>
      <c r="V32" s="61"/>
      <c r="W32" s="61"/>
      <c r="X32" s="61">
        <f t="shared" si="34"/>
        <v>766</v>
      </c>
      <c r="Y32" s="98">
        <v>0</v>
      </c>
      <c r="Z32" s="189">
        <v>500</v>
      </c>
      <c r="AA32" s="98">
        <v>0</v>
      </c>
      <c r="AB32" s="98"/>
      <c r="AC32" s="122" t="s">
        <v>25</v>
      </c>
      <c r="AD32" s="74" t="s">
        <v>25</v>
      </c>
      <c r="AE32" s="61"/>
      <c r="AF32" s="98">
        <v>0</v>
      </c>
      <c r="AG32" s="98">
        <v>0</v>
      </c>
      <c r="AH32" s="98">
        <v>0</v>
      </c>
      <c r="AI32" s="98">
        <v>0</v>
      </c>
      <c r="AJ32" s="76">
        <v>-1905</v>
      </c>
      <c r="AK32" s="74" t="s">
        <v>25</v>
      </c>
      <c r="AL32" s="74" t="s">
        <v>25</v>
      </c>
      <c r="AM32" s="61">
        <v>-1320</v>
      </c>
      <c r="AN32" s="61">
        <v>-1175</v>
      </c>
      <c r="AO32" s="61">
        <v>-1381</v>
      </c>
      <c r="AP32" s="61">
        <f t="shared" si="32"/>
        <v>-3225</v>
      </c>
      <c r="AQ32" s="61"/>
      <c r="AR32" s="61"/>
      <c r="AS32" s="61">
        <f t="shared" si="33"/>
        <v>-5781</v>
      </c>
      <c r="AT32" s="61">
        <v>-6000</v>
      </c>
      <c r="AU32" s="189">
        <v>-6073</v>
      </c>
      <c r="AV32" s="98">
        <v>0</v>
      </c>
      <c r="AW32" s="206">
        <f t="shared" si="21"/>
        <v>-6000</v>
      </c>
      <c r="AX32" s="74" t="s">
        <v>25</v>
      </c>
      <c r="AY32" s="74" t="s">
        <v>25</v>
      </c>
      <c r="AZ32" s="207"/>
      <c r="BA32" s="208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  <c r="XER32" s="13"/>
      <c r="XES32" s="13"/>
      <c r="XET32" s="13"/>
      <c r="XEU32" s="13"/>
      <c r="XEV32" s="13"/>
      <c r="XEW32" s="13"/>
      <c r="XEX32" s="13"/>
      <c r="XEY32" s="13"/>
      <c r="XEZ32" s="13"/>
      <c r="XFA32" s="13"/>
      <c r="XFB32" s="13"/>
      <c r="XFC32" s="13"/>
      <c r="XFD32" s="13"/>
    </row>
    <row r="33" s="1" customFormat="1" ht="25" hidden="1" customHeight="1" outlineLevel="1" spans="1:16384">
      <c r="A33" s="157"/>
      <c r="B33" s="141"/>
      <c r="C33" s="164"/>
      <c r="D33" s="56" t="s">
        <v>52</v>
      </c>
      <c r="E33" s="47" t="s">
        <v>167</v>
      </c>
      <c r="F33" s="51" t="s">
        <v>159</v>
      </c>
      <c r="G33" s="51" t="s">
        <v>154</v>
      </c>
      <c r="H33" s="51">
        <v>0</v>
      </c>
      <c r="I33" s="52">
        <v>4500</v>
      </c>
      <c r="J33" s="51">
        <v>3628</v>
      </c>
      <c r="K33" s="76">
        <v>3824</v>
      </c>
      <c r="L33" s="61">
        <v>4162</v>
      </c>
      <c r="M33" s="61">
        <f t="shared" si="28"/>
        <v>-338</v>
      </c>
      <c r="N33" s="74">
        <f t="shared" ref="N33:N41" si="35">K33/L33-1</f>
        <v>-0.0812109562710236</v>
      </c>
      <c r="O33" s="76"/>
      <c r="P33" s="74">
        <f t="shared" ref="P33:P39" si="36">K33/I33</f>
        <v>0.849777777777778</v>
      </c>
      <c r="Q33" s="74" t="s">
        <v>25</v>
      </c>
      <c r="R33" s="61">
        <v>0</v>
      </c>
      <c r="S33" s="61">
        <v>0</v>
      </c>
      <c r="T33" s="61">
        <v>0</v>
      </c>
      <c r="U33" s="61">
        <f t="shared" si="30"/>
        <v>3824</v>
      </c>
      <c r="V33" s="61"/>
      <c r="W33" s="61"/>
      <c r="X33" s="61">
        <f t="shared" si="34"/>
        <v>3824</v>
      </c>
      <c r="Y33" s="61">
        <v>3820</v>
      </c>
      <c r="Z33" s="189">
        <v>3820</v>
      </c>
      <c r="AA33" s="61">
        <v>6929</v>
      </c>
      <c r="AB33" s="61">
        <f t="shared" ref="AB33:AB38" si="37">Y33-AA33</f>
        <v>-3109</v>
      </c>
      <c r="AC33" s="122" t="s">
        <v>25</v>
      </c>
      <c r="AD33" s="74" t="s">
        <v>25</v>
      </c>
      <c r="AE33" s="61"/>
      <c r="AF33" s="52">
        <v>0</v>
      </c>
      <c r="AG33" s="52">
        <v>160</v>
      </c>
      <c r="AH33" s="76">
        <v>-812</v>
      </c>
      <c r="AI33" s="98">
        <v>0</v>
      </c>
      <c r="AJ33" s="76">
        <v>-308</v>
      </c>
      <c r="AK33" s="74">
        <f t="shared" ref="AK33:AK39" si="38">(AJ33-AH33)/ABS(AH33)</f>
        <v>0.620689655172414</v>
      </c>
      <c r="AL33" s="74">
        <f t="shared" ref="AL33:AL39" si="39">AJ33/AG33</f>
        <v>-1.925</v>
      </c>
      <c r="AM33" s="61">
        <v>-50</v>
      </c>
      <c r="AN33" s="61">
        <v>-50</v>
      </c>
      <c r="AO33" s="61">
        <v>-50</v>
      </c>
      <c r="AP33" s="61">
        <f t="shared" si="32"/>
        <v>-358</v>
      </c>
      <c r="AQ33" s="61"/>
      <c r="AR33" s="61"/>
      <c r="AS33" s="61">
        <f t="shared" si="33"/>
        <v>-458</v>
      </c>
      <c r="AT33" s="61">
        <v>-350</v>
      </c>
      <c r="AU33" s="189">
        <v>-350</v>
      </c>
      <c r="AV33" s="61">
        <v>-929</v>
      </c>
      <c r="AW33" s="206">
        <f t="shared" ref="AW33:AW77" si="40">AT33-AV33</f>
        <v>579</v>
      </c>
      <c r="AX33" s="74">
        <f>(AT33-AV33)/ABS(AV33)</f>
        <v>0.623250807319699</v>
      </c>
      <c r="AY33" s="74" t="s">
        <v>25</v>
      </c>
      <c r="AZ33" s="207"/>
      <c r="BA33" s="208"/>
      <c r="BB33" s="4" t="s">
        <v>175</v>
      </c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XDW33" s="13"/>
      <c r="XDX33" s="13"/>
      <c r="XDY33" s="13"/>
      <c r="XDZ33" s="13"/>
      <c r="XEA33" s="13"/>
      <c r="XEB33" s="13"/>
      <c r="XEC33" s="13"/>
      <c r="XED33" s="13"/>
      <c r="XEE33" s="13"/>
      <c r="XEF33" s="13"/>
      <c r="XEG33" s="13"/>
      <c r="XEH33" s="13"/>
      <c r="XEI33" s="13"/>
      <c r="XEJ33" s="13"/>
      <c r="XEK33" s="13"/>
      <c r="XEL33" s="13"/>
      <c r="XEM33" s="13"/>
      <c r="XEN33" s="13"/>
      <c r="XEO33" s="13"/>
      <c r="XEP33" s="13"/>
      <c r="XEQ33" s="13"/>
      <c r="XER33" s="13"/>
      <c r="XES33" s="13"/>
      <c r="XET33" s="13"/>
      <c r="XEU33" s="13"/>
      <c r="XEV33" s="13"/>
      <c r="XEW33" s="13"/>
      <c r="XEX33" s="13"/>
      <c r="XEY33" s="13"/>
      <c r="XEZ33" s="13"/>
      <c r="XFA33" s="13"/>
      <c r="XFB33" s="13"/>
      <c r="XFC33" s="13"/>
      <c r="XFD33" s="13"/>
    </row>
    <row r="34" s="1" customFormat="1" ht="25" customHeight="1" collapsed="1" spans="1:16384">
      <c r="A34" s="157"/>
      <c r="B34" s="141"/>
      <c r="C34" s="164">
        <v>10</v>
      </c>
      <c r="D34" s="56" t="s">
        <v>176</v>
      </c>
      <c r="E34" s="47" t="s">
        <v>167</v>
      </c>
      <c r="F34" s="51" t="s">
        <v>159</v>
      </c>
      <c r="G34" s="51" t="s">
        <v>154</v>
      </c>
      <c r="H34" s="51">
        <v>79000</v>
      </c>
      <c r="I34" s="52">
        <v>32000</v>
      </c>
      <c r="J34" s="79">
        <v>0</v>
      </c>
      <c r="K34" s="52">
        <f>K35+K36</f>
        <v>27403</v>
      </c>
      <c r="L34" s="76">
        <f>L35+L36</f>
        <v>26236</v>
      </c>
      <c r="M34" s="61">
        <f t="shared" si="28"/>
        <v>1167</v>
      </c>
      <c r="N34" s="74">
        <f t="shared" si="35"/>
        <v>0.0444808659856686</v>
      </c>
      <c r="O34" s="76">
        <f t="shared" ref="O33:O40" si="41">I34-K34</f>
        <v>4597</v>
      </c>
      <c r="P34" s="74">
        <f t="shared" si="36"/>
        <v>0.85634375</v>
      </c>
      <c r="Q34" s="74">
        <f>K34/H34</f>
        <v>0.346873417721519</v>
      </c>
      <c r="R34" s="52">
        <f>R35+R36</f>
        <v>6250</v>
      </c>
      <c r="S34" s="52">
        <f>S35+S36</f>
        <v>9030</v>
      </c>
      <c r="T34" s="52">
        <f>T35+T36</f>
        <v>7300</v>
      </c>
      <c r="U34" s="61">
        <f t="shared" si="30"/>
        <v>33653</v>
      </c>
      <c r="V34" s="61"/>
      <c r="W34" s="61"/>
      <c r="X34" s="61">
        <f t="shared" si="34"/>
        <v>49983</v>
      </c>
      <c r="Y34" s="61">
        <f>Y35+Y36</f>
        <v>45000</v>
      </c>
      <c r="Z34" s="189">
        <v>43000</v>
      </c>
      <c r="AA34" s="61">
        <f>AA35+AA36</f>
        <v>42119</v>
      </c>
      <c r="AB34" s="61">
        <f t="shared" si="37"/>
        <v>2881</v>
      </c>
      <c r="AC34" s="122">
        <f t="shared" ref="AC33:AC38" si="42">Y34/AA34-1</f>
        <v>0.068401434032147</v>
      </c>
      <c r="AD34" s="74">
        <f>Y34/H34</f>
        <v>0.569620253164557</v>
      </c>
      <c r="AE34" s="61">
        <f>K34-I34</f>
        <v>-4597</v>
      </c>
      <c r="AF34" s="52">
        <v>9500</v>
      </c>
      <c r="AG34" s="52">
        <v>2400</v>
      </c>
      <c r="AH34" s="76">
        <f t="shared" ref="AH34:AO34" si="43">AH35+AH36</f>
        <v>2281</v>
      </c>
      <c r="AI34" s="98">
        <v>0</v>
      </c>
      <c r="AJ34" s="52">
        <f t="shared" si="43"/>
        <v>2380</v>
      </c>
      <c r="AK34" s="74">
        <f t="shared" si="38"/>
        <v>0.0434020166593599</v>
      </c>
      <c r="AL34" s="74">
        <f t="shared" si="39"/>
        <v>0.991666666666667</v>
      </c>
      <c r="AM34" s="52">
        <f t="shared" si="43"/>
        <v>480</v>
      </c>
      <c r="AN34" s="52">
        <f t="shared" si="43"/>
        <v>1332</v>
      </c>
      <c r="AO34" s="52">
        <f t="shared" si="43"/>
        <v>1081</v>
      </c>
      <c r="AP34" s="61">
        <f t="shared" si="32"/>
        <v>2860</v>
      </c>
      <c r="AQ34" s="61"/>
      <c r="AR34" s="61"/>
      <c r="AS34" s="61">
        <f t="shared" si="33"/>
        <v>5273</v>
      </c>
      <c r="AT34" s="61">
        <f>AT35+AT36</f>
        <v>4500</v>
      </c>
      <c r="AU34" s="189">
        <v>3700</v>
      </c>
      <c r="AV34" s="61">
        <f>AV35+AV36</f>
        <v>3603.47</v>
      </c>
      <c r="AW34" s="206">
        <f t="shared" si="40"/>
        <v>896.53</v>
      </c>
      <c r="AX34" s="74">
        <f>(AT34-AV34)/ABS(AV34)</f>
        <v>0.24879629912279</v>
      </c>
      <c r="AY34" s="74">
        <f>AT34/AF34</f>
        <v>0.473684210526316</v>
      </c>
      <c r="AZ34" s="207"/>
      <c r="BA34" s="208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XDW34" s="13"/>
      <c r="XDX34" s="13"/>
      <c r="XDY34" s="13"/>
      <c r="XDZ34" s="13"/>
      <c r="XEA34" s="13"/>
      <c r="XEB34" s="13"/>
      <c r="XEC34" s="13"/>
      <c r="XED34" s="13"/>
      <c r="XEE34" s="13"/>
      <c r="XEF34" s="13"/>
      <c r="XEG34" s="13"/>
      <c r="XEH34" s="13"/>
      <c r="XEI34" s="13"/>
      <c r="XEJ34" s="13"/>
      <c r="XEK34" s="13"/>
      <c r="XEL34" s="13"/>
      <c r="XEM34" s="13"/>
      <c r="XEN34" s="13"/>
      <c r="XEO34" s="13"/>
      <c r="XEP34" s="13"/>
      <c r="XEQ34" s="13"/>
      <c r="XER34" s="13"/>
      <c r="XES34" s="13"/>
      <c r="XET34" s="13"/>
      <c r="XEU34" s="13"/>
      <c r="XEV34" s="13"/>
      <c r="XEW34" s="13"/>
      <c r="XEX34" s="13"/>
      <c r="XEY34" s="13"/>
      <c r="XEZ34" s="13"/>
      <c r="XFA34" s="13"/>
      <c r="XFB34" s="13"/>
      <c r="XFC34" s="13"/>
      <c r="XFD34" s="13"/>
    </row>
    <row r="35" s="1" customFormat="1" ht="25" hidden="1" customHeight="1" outlineLevel="1" spans="1:16384">
      <c r="A35" s="157"/>
      <c r="B35" s="141"/>
      <c r="C35" s="165" t="s">
        <v>169</v>
      </c>
      <c r="D35" s="56" t="s">
        <v>119</v>
      </c>
      <c r="E35" s="173"/>
      <c r="F35" s="51"/>
      <c r="G35" s="51"/>
      <c r="H35" s="51">
        <v>54000</v>
      </c>
      <c r="I35" s="52">
        <v>22000</v>
      </c>
      <c r="J35" s="79">
        <v>0</v>
      </c>
      <c r="K35" s="76">
        <v>17509</v>
      </c>
      <c r="L35" s="61">
        <v>20229</v>
      </c>
      <c r="M35" s="61">
        <f t="shared" si="28"/>
        <v>-2720</v>
      </c>
      <c r="N35" s="74">
        <f t="shared" si="35"/>
        <v>-0.134460428098275</v>
      </c>
      <c r="O35" s="76">
        <f t="shared" si="41"/>
        <v>4491</v>
      </c>
      <c r="P35" s="74">
        <f t="shared" si="36"/>
        <v>0.795863636363636</v>
      </c>
      <c r="Q35" s="74">
        <f>K35/H35</f>
        <v>0.324240740740741</v>
      </c>
      <c r="R35" s="61">
        <v>4750</v>
      </c>
      <c r="S35" s="61">
        <v>7230</v>
      </c>
      <c r="T35" s="61">
        <v>5600</v>
      </c>
      <c r="U35" s="61">
        <f t="shared" si="30"/>
        <v>22259</v>
      </c>
      <c r="V35" s="61"/>
      <c r="W35" s="61"/>
      <c r="X35" s="61">
        <f t="shared" si="34"/>
        <v>35089</v>
      </c>
      <c r="Y35" s="61">
        <v>30000</v>
      </c>
      <c r="Z35" s="189">
        <v>28000</v>
      </c>
      <c r="AA35" s="61">
        <v>31605</v>
      </c>
      <c r="AB35" s="61">
        <f t="shared" si="37"/>
        <v>-1605</v>
      </c>
      <c r="AC35" s="122">
        <f t="shared" si="42"/>
        <v>-0.0507831039392501</v>
      </c>
      <c r="AD35" s="74">
        <f>Y35/H35</f>
        <v>0.555555555555556</v>
      </c>
      <c r="AE35" s="61">
        <f>K35-I35</f>
        <v>-4491</v>
      </c>
      <c r="AF35" s="52">
        <v>8300</v>
      </c>
      <c r="AG35" s="52">
        <v>2260</v>
      </c>
      <c r="AH35" s="76">
        <v>2140</v>
      </c>
      <c r="AI35" s="98">
        <v>0</v>
      </c>
      <c r="AJ35" s="76">
        <v>2221</v>
      </c>
      <c r="AK35" s="74">
        <f t="shared" si="38"/>
        <v>0.0378504672897196</v>
      </c>
      <c r="AL35" s="74">
        <f t="shared" si="39"/>
        <v>0.982743362831858</v>
      </c>
      <c r="AM35" s="61">
        <v>450</v>
      </c>
      <c r="AN35" s="61">
        <v>1300</v>
      </c>
      <c r="AO35" s="61">
        <v>1050</v>
      </c>
      <c r="AP35" s="61">
        <f t="shared" si="32"/>
        <v>2671</v>
      </c>
      <c r="AQ35" s="61"/>
      <c r="AR35" s="61"/>
      <c r="AS35" s="61">
        <f t="shared" si="33"/>
        <v>5021</v>
      </c>
      <c r="AT35" s="61">
        <v>4200</v>
      </c>
      <c r="AU35" s="189">
        <v>3500</v>
      </c>
      <c r="AV35" s="61">
        <v>3483</v>
      </c>
      <c r="AW35" s="206">
        <f t="shared" si="40"/>
        <v>717</v>
      </c>
      <c r="AX35" s="74">
        <f>(AT35-AV35)/ABS(AV35)</f>
        <v>0.205857019810508</v>
      </c>
      <c r="AY35" s="74">
        <f>AT35/AF35</f>
        <v>0.506024096385542</v>
      </c>
      <c r="AZ35" s="207"/>
      <c r="BA35" s="208"/>
      <c r="BB35" s="215" t="s">
        <v>177</v>
      </c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XDW35" s="13"/>
      <c r="XDX35" s="13"/>
      <c r="XDY35" s="13"/>
      <c r="XDZ35" s="13"/>
      <c r="XEA35" s="13"/>
      <c r="XEB35" s="13"/>
      <c r="XEC35" s="13"/>
      <c r="XED35" s="13"/>
      <c r="XEE35" s="13"/>
      <c r="XEF35" s="13"/>
      <c r="XEG35" s="13"/>
      <c r="XEH35" s="13"/>
      <c r="XEI35" s="13"/>
      <c r="XEJ35" s="13"/>
      <c r="XEK35" s="13"/>
      <c r="XEL35" s="13"/>
      <c r="XEM35" s="13"/>
      <c r="XEN35" s="13"/>
      <c r="XEO35" s="13"/>
      <c r="XEP35" s="13"/>
      <c r="XEQ35" s="13"/>
      <c r="XER35" s="13"/>
      <c r="XES35" s="13"/>
      <c r="XET35" s="13"/>
      <c r="XEU35" s="13"/>
      <c r="XEV35" s="13"/>
      <c r="XEW35" s="13"/>
      <c r="XEX35" s="13"/>
      <c r="XEY35" s="13"/>
      <c r="XEZ35" s="13"/>
      <c r="XFA35" s="13"/>
      <c r="XFB35" s="13"/>
      <c r="XFC35" s="13"/>
      <c r="XFD35" s="13"/>
    </row>
    <row r="36" s="1" customFormat="1" ht="25" hidden="1" customHeight="1" outlineLevel="1" spans="1:16384">
      <c r="A36" s="157"/>
      <c r="B36" s="141"/>
      <c r="C36" s="165" t="s">
        <v>171</v>
      </c>
      <c r="D36" s="56" t="s">
        <v>178</v>
      </c>
      <c r="E36" s="173"/>
      <c r="F36" s="52"/>
      <c r="G36" s="52"/>
      <c r="H36" s="51">
        <v>25000</v>
      </c>
      <c r="I36" s="52">
        <v>10000</v>
      </c>
      <c r="J36" s="79">
        <v>0</v>
      </c>
      <c r="K36" s="76">
        <v>9894</v>
      </c>
      <c r="L36" s="61">
        <v>6007</v>
      </c>
      <c r="M36" s="61">
        <f t="shared" si="28"/>
        <v>3887</v>
      </c>
      <c r="N36" s="74">
        <f t="shared" si="35"/>
        <v>0.647078408523389</v>
      </c>
      <c r="O36" s="76">
        <f t="shared" si="41"/>
        <v>106</v>
      </c>
      <c r="P36" s="74">
        <f t="shared" si="36"/>
        <v>0.9894</v>
      </c>
      <c r="Q36" s="74">
        <f>K36/H36</f>
        <v>0.39576</v>
      </c>
      <c r="R36" s="61">
        <v>1500</v>
      </c>
      <c r="S36" s="61">
        <v>1800</v>
      </c>
      <c r="T36" s="61">
        <v>1700</v>
      </c>
      <c r="U36" s="61">
        <f t="shared" si="30"/>
        <v>11394</v>
      </c>
      <c r="V36" s="61"/>
      <c r="W36" s="61"/>
      <c r="X36" s="61">
        <f t="shared" si="34"/>
        <v>14894</v>
      </c>
      <c r="Y36" s="61">
        <v>15000</v>
      </c>
      <c r="Z36" s="189">
        <v>15000</v>
      </c>
      <c r="AA36" s="61">
        <v>10514</v>
      </c>
      <c r="AB36" s="61">
        <f t="shared" si="37"/>
        <v>4486</v>
      </c>
      <c r="AC36" s="122">
        <f t="shared" si="42"/>
        <v>0.426669202967472</v>
      </c>
      <c r="AD36" s="74">
        <f>Y36/H36</f>
        <v>0.6</v>
      </c>
      <c r="AE36" s="61">
        <f>K36-I36</f>
        <v>-106</v>
      </c>
      <c r="AF36" s="52">
        <v>1200</v>
      </c>
      <c r="AG36" s="52">
        <v>140</v>
      </c>
      <c r="AH36" s="76">
        <v>141</v>
      </c>
      <c r="AI36" s="98">
        <v>0</v>
      </c>
      <c r="AJ36" s="76">
        <v>159</v>
      </c>
      <c r="AK36" s="74">
        <f t="shared" si="38"/>
        <v>0.127659574468085</v>
      </c>
      <c r="AL36" s="74">
        <f t="shared" si="39"/>
        <v>1.13571428571429</v>
      </c>
      <c r="AM36" s="61">
        <f>10+20</f>
        <v>30</v>
      </c>
      <c r="AN36" s="61">
        <f>12+20</f>
        <v>32</v>
      </c>
      <c r="AO36" s="61">
        <f>11+20</f>
        <v>31</v>
      </c>
      <c r="AP36" s="61">
        <f t="shared" si="32"/>
        <v>189</v>
      </c>
      <c r="AQ36" s="61"/>
      <c r="AR36" s="61"/>
      <c r="AS36" s="61">
        <f t="shared" si="33"/>
        <v>252</v>
      </c>
      <c r="AT36" s="61">
        <v>300</v>
      </c>
      <c r="AU36" s="189">
        <v>200</v>
      </c>
      <c r="AV36" s="61">
        <f>83+37.47</f>
        <v>120.47</v>
      </c>
      <c r="AW36" s="206">
        <f t="shared" si="40"/>
        <v>179.53</v>
      </c>
      <c r="AX36" s="74">
        <f>(AT36-AV36)/ABS(AV36)</f>
        <v>1.49024653440691</v>
      </c>
      <c r="AY36" s="74">
        <f>AT36/AF36</f>
        <v>0.25</v>
      </c>
      <c r="AZ36" s="207"/>
      <c r="BA36" s="208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XDW36" s="13"/>
      <c r="XDX36" s="13"/>
      <c r="XDY36" s="13"/>
      <c r="XDZ36" s="13"/>
      <c r="XEA36" s="13"/>
      <c r="XEB36" s="13"/>
      <c r="XEC36" s="13"/>
      <c r="XED36" s="13"/>
      <c r="XEE36" s="13"/>
      <c r="XEF36" s="13"/>
      <c r="XEG36" s="13"/>
      <c r="XEH36" s="13"/>
      <c r="XEI36" s="13"/>
      <c r="XEJ36" s="13"/>
      <c r="XEK36" s="13"/>
      <c r="XEL36" s="13"/>
      <c r="XEM36" s="13"/>
      <c r="XEN36" s="13"/>
      <c r="XEO36" s="13"/>
      <c r="XEP36" s="13"/>
      <c r="XEQ36" s="13"/>
      <c r="XER36" s="13"/>
      <c r="XES36" s="13"/>
      <c r="XET36" s="13"/>
      <c r="XEU36" s="13"/>
      <c r="XEV36" s="13"/>
      <c r="XEW36" s="13"/>
      <c r="XEX36" s="13"/>
      <c r="XEY36" s="13"/>
      <c r="XEZ36" s="13"/>
      <c r="XFA36" s="13"/>
      <c r="XFB36" s="13"/>
      <c r="XFC36" s="13"/>
      <c r="XFD36" s="13"/>
    </row>
    <row r="37" s="1" customFormat="1" ht="25" customHeight="1" collapsed="1" spans="1:16384">
      <c r="A37" s="157"/>
      <c r="B37" s="141"/>
      <c r="C37" s="164">
        <v>11</v>
      </c>
      <c r="D37" s="45" t="s">
        <v>56</v>
      </c>
      <c r="E37" s="47" t="s">
        <v>167</v>
      </c>
      <c r="F37" s="51" t="s">
        <v>159</v>
      </c>
      <c r="G37" s="51" t="s">
        <v>154</v>
      </c>
      <c r="H37" s="51">
        <v>30000</v>
      </c>
      <c r="I37" s="52">
        <v>10000</v>
      </c>
      <c r="J37" s="79">
        <v>0</v>
      </c>
      <c r="K37" s="76">
        <v>7140</v>
      </c>
      <c r="L37" s="61">
        <v>9185</v>
      </c>
      <c r="M37" s="61">
        <f t="shared" si="28"/>
        <v>-2045</v>
      </c>
      <c r="N37" s="74">
        <f t="shared" si="35"/>
        <v>-0.222645617855199</v>
      </c>
      <c r="O37" s="76">
        <f t="shared" si="41"/>
        <v>2860</v>
      </c>
      <c r="P37" s="74">
        <f t="shared" si="36"/>
        <v>0.714</v>
      </c>
      <c r="Q37" s="74">
        <f>K37/H37</f>
        <v>0.238</v>
      </c>
      <c r="R37" s="61">
        <v>1000</v>
      </c>
      <c r="S37" s="61">
        <v>1000</v>
      </c>
      <c r="T37" s="61">
        <v>1000</v>
      </c>
      <c r="U37" s="61">
        <f t="shared" si="30"/>
        <v>8140</v>
      </c>
      <c r="V37" s="61"/>
      <c r="W37" s="61"/>
      <c r="X37" s="61">
        <f t="shared" si="34"/>
        <v>10140</v>
      </c>
      <c r="Y37" s="61">
        <v>10000</v>
      </c>
      <c r="Z37" s="194">
        <v>10000</v>
      </c>
      <c r="AA37" s="61">
        <v>12393</v>
      </c>
      <c r="AB37" s="61">
        <f t="shared" si="37"/>
        <v>-2393</v>
      </c>
      <c r="AC37" s="122">
        <f t="shared" si="42"/>
        <v>-0.193092875010086</v>
      </c>
      <c r="AD37" s="74">
        <f>Y37/H37</f>
        <v>0.333333333333333</v>
      </c>
      <c r="AE37" s="61">
        <f>K37-I37</f>
        <v>-2860</v>
      </c>
      <c r="AF37" s="52">
        <v>2500</v>
      </c>
      <c r="AG37" s="52">
        <v>100</v>
      </c>
      <c r="AH37" s="76">
        <v>295</v>
      </c>
      <c r="AI37" s="98">
        <v>0</v>
      </c>
      <c r="AJ37" s="99">
        <v>-322</v>
      </c>
      <c r="AK37" s="74">
        <f t="shared" si="38"/>
        <v>-2.09152542372881</v>
      </c>
      <c r="AL37" s="74">
        <f t="shared" si="39"/>
        <v>-3.22</v>
      </c>
      <c r="AM37" s="61">
        <v>5</v>
      </c>
      <c r="AN37" s="61">
        <v>5</v>
      </c>
      <c r="AO37" s="61">
        <v>5</v>
      </c>
      <c r="AP37" s="61">
        <f t="shared" si="32"/>
        <v>-317</v>
      </c>
      <c r="AQ37" s="61"/>
      <c r="AR37" s="61"/>
      <c r="AS37" s="61">
        <v>-150</v>
      </c>
      <c r="AT37" s="61">
        <v>50</v>
      </c>
      <c r="AU37" s="189">
        <v>50</v>
      </c>
      <c r="AV37" s="61">
        <v>375</v>
      </c>
      <c r="AW37" s="206">
        <f t="shared" si="40"/>
        <v>-325</v>
      </c>
      <c r="AX37" s="74">
        <f>(AT37-AV37)/ABS(AV37)</f>
        <v>-0.866666666666667</v>
      </c>
      <c r="AY37" s="74">
        <f>AT37/AF37</f>
        <v>0.02</v>
      </c>
      <c r="AZ37" s="207"/>
      <c r="BA37" s="208"/>
      <c r="BB37" s="210"/>
      <c r="BC37" s="101"/>
      <c r="BD37" s="4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101"/>
      <c r="CV37" s="101"/>
      <c r="CW37" s="101"/>
      <c r="CX37" s="101"/>
      <c r="CY37" s="101"/>
      <c r="CZ37" s="101"/>
      <c r="DA37" s="101"/>
      <c r="DB37" s="101"/>
      <c r="DC37" s="101"/>
      <c r="DD37" s="101"/>
      <c r="DE37" s="101"/>
      <c r="DF37" s="101"/>
      <c r="DG37" s="101"/>
      <c r="DH37" s="101"/>
      <c r="DI37" s="101"/>
      <c r="DJ37" s="101"/>
      <c r="DK37" s="101"/>
      <c r="DL37" s="101"/>
      <c r="DM37" s="101"/>
      <c r="DN37" s="101"/>
      <c r="DO37" s="101"/>
      <c r="DP37" s="101"/>
      <c r="DQ37" s="101"/>
      <c r="DR37" s="101"/>
      <c r="DS37" s="101"/>
      <c r="DT37" s="101"/>
      <c r="DU37" s="101"/>
      <c r="DV37" s="101"/>
      <c r="DW37" s="101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1"/>
      <c r="EN37" s="101"/>
      <c r="EO37" s="101"/>
      <c r="EP37" s="101"/>
      <c r="EQ37" s="101"/>
      <c r="ER37" s="101"/>
      <c r="ES37" s="101"/>
      <c r="ET37" s="101"/>
      <c r="EU37" s="101"/>
      <c r="EV37" s="101"/>
      <c r="EW37" s="101"/>
      <c r="EX37" s="101"/>
      <c r="EY37" s="101"/>
      <c r="EZ37" s="101"/>
      <c r="FA37" s="101"/>
      <c r="FB37" s="101"/>
      <c r="FC37" s="101"/>
      <c r="FD37" s="101"/>
      <c r="FE37" s="101"/>
      <c r="FF37" s="101"/>
      <c r="FG37" s="101"/>
      <c r="FH37" s="101"/>
      <c r="FI37" s="101"/>
      <c r="FJ37" s="101"/>
      <c r="FK37" s="101"/>
      <c r="FL37" s="101"/>
      <c r="FM37" s="101"/>
      <c r="FN37" s="101"/>
      <c r="FO37" s="101"/>
      <c r="FP37" s="101"/>
      <c r="FQ37" s="101"/>
      <c r="FR37" s="101"/>
      <c r="FS37" s="101"/>
      <c r="FT37" s="101"/>
      <c r="FU37" s="101"/>
      <c r="FV37" s="101"/>
      <c r="FW37" s="101"/>
      <c r="FX37" s="101"/>
      <c r="FY37" s="101"/>
      <c r="FZ37" s="101"/>
      <c r="GA37" s="101"/>
      <c r="GB37" s="101"/>
      <c r="GC37" s="101"/>
      <c r="GD37" s="101"/>
      <c r="GE37" s="101"/>
      <c r="GF37" s="101"/>
      <c r="GG37" s="101"/>
      <c r="GH37" s="101"/>
      <c r="GI37" s="101"/>
      <c r="GJ37" s="101"/>
      <c r="GK37" s="101"/>
      <c r="GL37" s="101"/>
      <c r="GM37" s="101"/>
      <c r="GN37" s="101"/>
      <c r="GO37" s="101"/>
      <c r="GP37" s="101"/>
      <c r="GQ37" s="101"/>
      <c r="GR37" s="101"/>
      <c r="GS37" s="101"/>
      <c r="GT37" s="101"/>
      <c r="GU37" s="101"/>
      <c r="GV37" s="101"/>
      <c r="GW37" s="101"/>
      <c r="GX37" s="101"/>
      <c r="GY37" s="101"/>
      <c r="GZ37" s="101"/>
      <c r="HA37" s="101"/>
      <c r="HB37" s="101"/>
      <c r="HC37" s="101"/>
      <c r="HD37" s="101"/>
      <c r="HE37" s="101"/>
      <c r="HF37" s="101"/>
      <c r="HG37" s="101"/>
      <c r="HH37" s="101"/>
      <c r="HI37" s="101"/>
      <c r="HJ37" s="101"/>
      <c r="HK37" s="101"/>
      <c r="HL37" s="101"/>
      <c r="HM37" s="101"/>
      <c r="HN37" s="101"/>
      <c r="HO37" s="101"/>
      <c r="HP37" s="101"/>
      <c r="HQ37" s="101"/>
      <c r="HR37" s="101"/>
      <c r="HS37" s="101"/>
      <c r="HT37" s="101"/>
      <c r="HU37" s="101"/>
      <c r="HV37" s="101"/>
      <c r="HW37" s="101"/>
      <c r="HX37" s="101"/>
      <c r="HY37" s="101"/>
      <c r="HZ37" s="101"/>
      <c r="IA37" s="101"/>
      <c r="IB37" s="101"/>
      <c r="IC37" s="101"/>
      <c r="ID37" s="101"/>
      <c r="IE37" s="101"/>
      <c r="IF37" s="101"/>
      <c r="IG37" s="101"/>
      <c r="IH37" s="101"/>
      <c r="II37" s="101"/>
      <c r="IJ37" s="101"/>
      <c r="IK37" s="101"/>
      <c r="IL37" s="101"/>
      <c r="XDW37" s="101"/>
      <c r="XDX37" s="101"/>
      <c r="XDY37" s="101"/>
      <c r="XDZ37" s="101"/>
      <c r="XEA37" s="101"/>
      <c r="XEB37" s="101"/>
      <c r="XEC37" s="101"/>
      <c r="XED37" s="101"/>
      <c r="XEE37" s="13"/>
      <c r="XEF37" s="13"/>
      <c r="XEG37" s="13"/>
      <c r="XEH37" s="13"/>
      <c r="XEI37" s="13"/>
      <c r="XEJ37" s="13"/>
      <c r="XEK37" s="13"/>
      <c r="XEL37" s="13"/>
      <c r="XEM37" s="13"/>
      <c r="XEN37" s="13"/>
      <c r="XEO37" s="13"/>
      <c r="XEP37" s="13"/>
      <c r="XEQ37" s="13"/>
      <c r="XER37" s="13"/>
      <c r="XES37" s="13"/>
      <c r="XET37" s="13"/>
      <c r="XEU37" s="13"/>
      <c r="XEV37" s="13"/>
      <c r="XEW37" s="13"/>
      <c r="XEX37" s="13"/>
      <c r="XEY37" s="13"/>
      <c r="XEZ37" s="13"/>
      <c r="XFA37" s="13"/>
      <c r="XFB37" s="13"/>
      <c r="XFC37" s="13"/>
      <c r="XFD37" s="13"/>
    </row>
    <row r="38" s="3" customFormat="1" ht="25" hidden="1" customHeight="1" outlineLevel="1" spans="1:16384">
      <c r="A38" s="157" t="s">
        <v>6</v>
      </c>
      <c r="B38" s="141"/>
      <c r="C38" s="174"/>
      <c r="D38" s="169" t="s">
        <v>156</v>
      </c>
      <c r="E38" s="170"/>
      <c r="F38" s="171"/>
      <c r="G38" s="171"/>
      <c r="H38" s="51">
        <f t="shared" ref="H38:L38" si="44">H39+H42</f>
        <v>780000</v>
      </c>
      <c r="I38" s="170">
        <f t="shared" si="44"/>
        <v>388700</v>
      </c>
      <c r="J38" s="170" t="s">
        <v>25</v>
      </c>
      <c r="K38" s="170">
        <f t="shared" si="44"/>
        <v>384079</v>
      </c>
      <c r="L38" s="170">
        <f t="shared" si="44"/>
        <v>319561</v>
      </c>
      <c r="M38" s="170"/>
      <c r="N38" s="179">
        <f t="shared" si="35"/>
        <v>0.201895725698693</v>
      </c>
      <c r="O38" s="180">
        <f t="shared" si="41"/>
        <v>4621</v>
      </c>
      <c r="P38" s="179">
        <f t="shared" si="36"/>
        <v>0.988111654232056</v>
      </c>
      <c r="Q38" s="188">
        <f t="shared" ref="Q38:Q48" si="45">K38/H38</f>
        <v>0.492408974358974</v>
      </c>
      <c r="R38" s="170">
        <f t="shared" ref="R38:U38" si="46">R39+R42</f>
        <v>16312</v>
      </c>
      <c r="S38" s="170">
        <f t="shared" si="46"/>
        <v>22738</v>
      </c>
      <c r="T38" s="170">
        <f t="shared" si="46"/>
        <v>19518</v>
      </c>
      <c r="U38" s="170">
        <f t="shared" si="46"/>
        <v>400391</v>
      </c>
      <c r="V38" s="189"/>
      <c r="W38" s="189"/>
      <c r="X38" s="170">
        <f>X39+X42</f>
        <v>442647</v>
      </c>
      <c r="Y38" s="170">
        <f>Y39+Y42</f>
        <v>493000</v>
      </c>
      <c r="Z38" s="170">
        <f>Z39+Z42</f>
        <v>472000</v>
      </c>
      <c r="AA38" s="170">
        <f>AA39+AA42</f>
        <v>407729</v>
      </c>
      <c r="AB38" s="170">
        <f t="shared" si="37"/>
        <v>85271</v>
      </c>
      <c r="AC38" s="179">
        <f t="shared" si="42"/>
        <v>0.209136460737402</v>
      </c>
      <c r="AD38" s="179">
        <f>Y38/H38</f>
        <v>0.632051282051282</v>
      </c>
      <c r="AE38" s="182">
        <f t="shared" ref="AE38:AH38" si="47">AE39+AE42</f>
        <v>-3616</v>
      </c>
      <c r="AF38" s="170">
        <f t="shared" si="47"/>
        <v>12700</v>
      </c>
      <c r="AG38" s="170">
        <f t="shared" si="47"/>
        <v>3450</v>
      </c>
      <c r="AH38" s="170">
        <f t="shared" si="47"/>
        <v>2131</v>
      </c>
      <c r="AI38" s="170" t="s">
        <v>25</v>
      </c>
      <c r="AJ38" s="170">
        <f t="shared" ref="AJ38:AP38" si="48">AJ39+AJ42</f>
        <v>3254</v>
      </c>
      <c r="AK38" s="179">
        <f t="shared" si="38"/>
        <v>0.526982637259503</v>
      </c>
      <c r="AL38" s="179">
        <f t="shared" si="39"/>
        <v>0.943188405797102</v>
      </c>
      <c r="AM38" s="170">
        <f t="shared" si="48"/>
        <v>222</v>
      </c>
      <c r="AN38" s="170">
        <f t="shared" si="48"/>
        <v>262</v>
      </c>
      <c r="AO38" s="170">
        <f t="shared" si="48"/>
        <v>257</v>
      </c>
      <c r="AP38" s="170">
        <f t="shared" si="48"/>
        <v>3476</v>
      </c>
      <c r="AQ38" s="189"/>
      <c r="AR38" s="189"/>
      <c r="AS38" s="170">
        <f>AS39+AS42</f>
        <v>3995</v>
      </c>
      <c r="AT38" s="170">
        <f>AT39+AT42</f>
        <v>4500</v>
      </c>
      <c r="AU38" s="170">
        <f>AU39+AU42</f>
        <v>4500</v>
      </c>
      <c r="AV38" s="170">
        <f>AV39+AV42</f>
        <v>3737</v>
      </c>
      <c r="AW38" s="212">
        <f t="shared" si="40"/>
        <v>763</v>
      </c>
      <c r="AX38" s="179">
        <f>AS38/AV38-1</f>
        <v>0.0690393363660691</v>
      </c>
      <c r="AY38" s="179">
        <f>AJ38/AF38</f>
        <v>0.256220472440945</v>
      </c>
      <c r="AZ38" s="216"/>
      <c r="BA38" s="217"/>
      <c r="BB38" s="218"/>
      <c r="BC38" s="105"/>
      <c r="BD38" s="219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  <c r="HF38" s="105"/>
      <c r="HG38" s="105"/>
      <c r="HH38" s="105"/>
      <c r="HI38" s="105"/>
      <c r="HJ38" s="105"/>
      <c r="HK38" s="105"/>
      <c r="HL38" s="105"/>
      <c r="HM38" s="105"/>
      <c r="HN38" s="105"/>
      <c r="HO38" s="105"/>
      <c r="HP38" s="105"/>
      <c r="HQ38" s="105"/>
      <c r="HR38" s="105"/>
      <c r="HS38" s="105"/>
      <c r="HT38" s="105"/>
      <c r="HU38" s="105"/>
      <c r="HV38" s="105"/>
      <c r="HW38" s="105"/>
      <c r="HX38" s="105"/>
      <c r="HY38" s="105"/>
      <c r="HZ38" s="105"/>
      <c r="IA38" s="105"/>
      <c r="IB38" s="105"/>
      <c r="IC38" s="105"/>
      <c r="ID38" s="105"/>
      <c r="IE38" s="105"/>
      <c r="IF38" s="105"/>
      <c r="IG38" s="105"/>
      <c r="IH38" s="105"/>
      <c r="II38" s="105"/>
      <c r="IJ38" s="105"/>
      <c r="IK38" s="105"/>
      <c r="IL38" s="105"/>
      <c r="XDW38" s="105"/>
      <c r="XDX38" s="105"/>
      <c r="XDY38" s="105"/>
      <c r="XDZ38" s="105"/>
      <c r="XEA38" s="105"/>
      <c r="XEB38" s="105"/>
      <c r="XEC38" s="105"/>
      <c r="XED38" s="105"/>
      <c r="XEE38" s="107"/>
      <c r="XEF38" s="107"/>
      <c r="XEG38" s="107"/>
      <c r="XEH38" s="107"/>
      <c r="XEI38" s="107"/>
      <c r="XEJ38" s="107"/>
      <c r="XEK38" s="107"/>
      <c r="XEL38" s="107"/>
      <c r="XEM38" s="107"/>
      <c r="XEN38" s="107"/>
      <c r="XEO38" s="107"/>
      <c r="XEP38" s="107"/>
      <c r="XEQ38" s="107"/>
      <c r="XER38" s="107"/>
      <c r="XES38" s="107"/>
      <c r="XET38" s="107"/>
      <c r="XEU38" s="107"/>
      <c r="XEV38" s="107"/>
      <c r="XEW38" s="107"/>
      <c r="XEX38" s="107"/>
      <c r="XEY38" s="107"/>
      <c r="XEZ38" s="107"/>
      <c r="XFA38" s="107"/>
      <c r="XFB38" s="107"/>
      <c r="XFC38" s="107"/>
      <c r="XFD38" s="107"/>
    </row>
    <row r="39" s="6" customFormat="1" ht="25" customHeight="1" collapsed="1" spans="1:16384">
      <c r="A39" s="166"/>
      <c r="B39" s="167"/>
      <c r="C39" s="164">
        <v>12</v>
      </c>
      <c r="D39" s="45" t="s">
        <v>57</v>
      </c>
      <c r="E39" s="59" t="s">
        <v>179</v>
      </c>
      <c r="F39" s="51" t="s">
        <v>180</v>
      </c>
      <c r="G39" s="51" t="s">
        <v>154</v>
      </c>
      <c r="H39" s="51">
        <v>670000</v>
      </c>
      <c r="I39" s="52">
        <v>340000</v>
      </c>
      <c r="J39" s="51">
        <v>340000</v>
      </c>
      <c r="K39" s="76">
        <f>318995+20000</f>
        <v>338995</v>
      </c>
      <c r="L39" s="61">
        <v>280462</v>
      </c>
      <c r="M39" s="61">
        <f t="shared" ref="M39:M48" si="49">K39-L39</f>
        <v>58533</v>
      </c>
      <c r="N39" s="74">
        <f t="shared" si="35"/>
        <v>0.208702070155672</v>
      </c>
      <c r="O39" s="76">
        <f t="shared" si="41"/>
        <v>1005</v>
      </c>
      <c r="P39" s="74">
        <f t="shared" si="36"/>
        <v>0.997044117647059</v>
      </c>
      <c r="Q39" s="74">
        <f t="shared" si="45"/>
        <v>0.505962686567164</v>
      </c>
      <c r="R39" s="61">
        <v>11000</v>
      </c>
      <c r="S39" s="61">
        <v>17000</v>
      </c>
      <c r="T39" s="61">
        <v>12000</v>
      </c>
      <c r="U39" s="61">
        <f t="shared" ref="U39:U48" si="50">K39+R39</f>
        <v>349995</v>
      </c>
      <c r="V39" s="61"/>
      <c r="W39" s="61"/>
      <c r="X39" s="61">
        <f>K39+R39+S39+T39</f>
        <v>378995</v>
      </c>
      <c r="Y39" s="61">
        <f>Y40+Y41</f>
        <v>430000</v>
      </c>
      <c r="Z39" s="189">
        <v>409000</v>
      </c>
      <c r="AA39" s="61">
        <v>352265</v>
      </c>
      <c r="AB39" s="61">
        <f t="shared" ref="AB39:AB58" si="51">Y39-AA39</f>
        <v>77735</v>
      </c>
      <c r="AC39" s="122">
        <f t="shared" ref="AC39:AC49" si="52">Y39/AA39-1</f>
        <v>0.220671937319915</v>
      </c>
      <c r="AD39" s="74">
        <f t="shared" ref="AD39:AD49" si="53">Y39/H39</f>
        <v>0.641791044776119</v>
      </c>
      <c r="AE39" s="61"/>
      <c r="AF39" s="52">
        <v>6000</v>
      </c>
      <c r="AG39" s="52">
        <v>1600</v>
      </c>
      <c r="AH39" s="76">
        <v>1708</v>
      </c>
      <c r="AI39" s="98">
        <v>0</v>
      </c>
      <c r="AJ39" s="76">
        <v>1800</v>
      </c>
      <c r="AK39" s="74">
        <f t="shared" si="38"/>
        <v>0.053864168618267</v>
      </c>
      <c r="AL39" s="74">
        <f t="shared" si="39"/>
        <v>1.125</v>
      </c>
      <c r="AM39" s="61">
        <v>220</v>
      </c>
      <c r="AN39" s="61">
        <v>270</v>
      </c>
      <c r="AO39" s="61">
        <v>250</v>
      </c>
      <c r="AP39" s="61">
        <f t="shared" ref="AP39:AP48" si="54">AJ39+AM39</f>
        <v>2020</v>
      </c>
      <c r="AQ39" s="61"/>
      <c r="AR39" s="61"/>
      <c r="AS39" s="61">
        <f>AJ39+AM39+AN39+AO39</f>
        <v>2540</v>
      </c>
      <c r="AT39" s="61">
        <v>3000</v>
      </c>
      <c r="AU39" s="194">
        <v>3000</v>
      </c>
      <c r="AV39" s="61">
        <v>3300</v>
      </c>
      <c r="AW39" s="206">
        <f t="shared" si="40"/>
        <v>-300</v>
      </c>
      <c r="AX39" s="74">
        <f t="shared" ref="AX39:AX44" si="55">(AT39-AV39)/ABS(AV39)</f>
        <v>-0.0909090909090909</v>
      </c>
      <c r="AY39" s="74">
        <f t="shared" ref="AY39:AY44" si="56">AT39/AF39</f>
        <v>0.5</v>
      </c>
      <c r="AZ39" s="207"/>
      <c r="BA39" s="208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106"/>
      <c r="FH39" s="106"/>
      <c r="FI39" s="106"/>
      <c r="FJ39" s="106"/>
      <c r="FK39" s="106"/>
      <c r="FL39" s="106"/>
      <c r="FM39" s="106"/>
      <c r="FN39" s="106"/>
      <c r="FO39" s="106"/>
      <c r="FP39" s="106"/>
      <c r="FQ39" s="106"/>
      <c r="FR39" s="106"/>
      <c r="FS39" s="106"/>
      <c r="FT39" s="106"/>
      <c r="FU39" s="106"/>
      <c r="FV39" s="106"/>
      <c r="FW39" s="106"/>
      <c r="FX39" s="106"/>
      <c r="FY39" s="106"/>
      <c r="FZ39" s="106"/>
      <c r="GA39" s="106"/>
      <c r="GB39" s="106"/>
      <c r="GC39" s="106"/>
      <c r="GD39" s="106"/>
      <c r="GE39" s="106"/>
      <c r="GF39" s="106"/>
      <c r="GG39" s="106"/>
      <c r="GH39" s="106"/>
      <c r="GI39" s="106"/>
      <c r="GJ39" s="106"/>
      <c r="GK39" s="106"/>
      <c r="GL39" s="106"/>
      <c r="GM39" s="106"/>
      <c r="GN39" s="106"/>
      <c r="GO39" s="106"/>
      <c r="GP39" s="106"/>
      <c r="GQ39" s="106"/>
      <c r="GR39" s="106"/>
      <c r="GS39" s="106"/>
      <c r="GT39" s="106"/>
      <c r="GU39" s="106"/>
      <c r="GV39" s="106"/>
      <c r="GW39" s="106"/>
      <c r="GX39" s="106"/>
      <c r="GY39" s="106"/>
      <c r="GZ39" s="106"/>
      <c r="HA39" s="106"/>
      <c r="HB39" s="106"/>
      <c r="HC39" s="106"/>
      <c r="HD39" s="106"/>
      <c r="HE39" s="106"/>
      <c r="HF39" s="106"/>
      <c r="HG39" s="106"/>
      <c r="HH39" s="106"/>
      <c r="HI39" s="106"/>
      <c r="HJ39" s="106"/>
      <c r="HK39" s="106"/>
      <c r="HL39" s="106"/>
      <c r="HM39" s="106"/>
      <c r="HN39" s="106"/>
      <c r="HO39" s="106"/>
      <c r="HP39" s="106"/>
      <c r="HQ39" s="106"/>
      <c r="HR39" s="106"/>
      <c r="HS39" s="106"/>
      <c r="HT39" s="106"/>
      <c r="HU39" s="106"/>
      <c r="HV39" s="106"/>
      <c r="HW39" s="106"/>
      <c r="HX39" s="106"/>
      <c r="HY39" s="106"/>
      <c r="HZ39" s="106"/>
      <c r="IA39" s="106"/>
      <c r="IB39" s="106"/>
      <c r="IC39" s="106"/>
      <c r="ID39" s="106"/>
      <c r="IE39" s="106"/>
      <c r="IF39" s="106"/>
      <c r="IG39" s="106"/>
      <c r="IH39" s="106"/>
      <c r="II39" s="106"/>
      <c r="IJ39" s="106"/>
      <c r="IK39" s="106"/>
      <c r="IL39" s="106"/>
      <c r="XDW39" s="108"/>
      <c r="XDX39" s="108"/>
      <c r="XDY39" s="108"/>
      <c r="XDZ39" s="108"/>
      <c r="XEA39" s="108"/>
      <c r="XEB39" s="108"/>
      <c r="XEC39" s="108"/>
      <c r="XED39" s="108"/>
      <c r="XEE39" s="108"/>
      <c r="XEF39" s="108"/>
      <c r="XEG39" s="108"/>
      <c r="XEH39" s="108"/>
      <c r="XEI39" s="108"/>
      <c r="XEJ39" s="108"/>
      <c r="XEK39" s="108"/>
      <c r="XEL39" s="108"/>
      <c r="XEM39" s="108"/>
      <c r="XEN39" s="108"/>
      <c r="XEO39" s="108"/>
      <c r="XEP39" s="108"/>
      <c r="XEQ39" s="108"/>
      <c r="XER39" s="108"/>
      <c r="XES39" s="108"/>
      <c r="XET39" s="108"/>
      <c r="XEU39" s="108"/>
      <c r="XEV39" s="108"/>
      <c r="XEW39" s="108"/>
      <c r="XEX39" s="108"/>
      <c r="XEY39" s="108"/>
      <c r="XEZ39" s="108"/>
      <c r="XFA39" s="108"/>
      <c r="XFB39" s="108"/>
      <c r="XFC39" s="108"/>
      <c r="XFD39" s="108"/>
    </row>
    <row r="40" s="6" customFormat="1" ht="25" hidden="1" customHeight="1" outlineLevel="1" spans="1:16384">
      <c r="A40" s="166"/>
      <c r="B40" s="167"/>
      <c r="C40" s="165"/>
      <c r="D40" s="45" t="s">
        <v>161</v>
      </c>
      <c r="E40" s="47"/>
      <c r="F40" s="51"/>
      <c r="G40" s="51"/>
      <c r="H40" s="51">
        <f>H39-H41</f>
        <v>545000</v>
      </c>
      <c r="I40" s="61">
        <f>I39-I41</f>
        <v>195000</v>
      </c>
      <c r="J40" s="61">
        <v>195000</v>
      </c>
      <c r="K40" s="61">
        <f>K39-K41</f>
        <v>193995</v>
      </c>
      <c r="L40" s="61">
        <f>L39-L41</f>
        <v>155462</v>
      </c>
      <c r="M40" s="61">
        <f t="shared" si="49"/>
        <v>38533</v>
      </c>
      <c r="N40" s="74">
        <f t="shared" si="35"/>
        <v>0.247861213672795</v>
      </c>
      <c r="O40" s="76">
        <f t="shared" si="41"/>
        <v>1005</v>
      </c>
      <c r="P40" s="74" t="s">
        <v>25</v>
      </c>
      <c r="Q40" s="74" t="s">
        <v>25</v>
      </c>
      <c r="R40" s="61">
        <f>R39-R41</f>
        <v>11000</v>
      </c>
      <c r="S40" s="61">
        <f>S39-S41</f>
        <v>17000</v>
      </c>
      <c r="T40" s="61">
        <f>T39-T41</f>
        <v>12000</v>
      </c>
      <c r="U40" s="61">
        <f t="shared" si="50"/>
        <v>204995</v>
      </c>
      <c r="V40" s="61"/>
      <c r="W40" s="61"/>
      <c r="X40" s="61">
        <f t="shared" ref="X40:X48" si="57">K40+R40+S40+T40</f>
        <v>233995</v>
      </c>
      <c r="Y40" s="61">
        <v>305000</v>
      </c>
      <c r="Z40" s="189">
        <f>Z39-Z41</f>
        <v>284000</v>
      </c>
      <c r="AA40" s="61">
        <f>AA39-AA41</f>
        <v>227265</v>
      </c>
      <c r="AB40" s="61">
        <f t="shared" si="51"/>
        <v>77735</v>
      </c>
      <c r="AC40" s="122">
        <f t="shared" si="52"/>
        <v>0.342045629551405</v>
      </c>
      <c r="AD40" s="74">
        <f t="shared" si="53"/>
        <v>0.559633027522936</v>
      </c>
      <c r="AE40" s="61"/>
      <c r="AF40" s="98">
        <v>0</v>
      </c>
      <c r="AG40" s="98">
        <v>0</v>
      </c>
      <c r="AH40" s="98">
        <v>0</v>
      </c>
      <c r="AI40" s="98">
        <v>0</v>
      </c>
      <c r="AJ40" s="98">
        <v>0</v>
      </c>
      <c r="AK40" s="98">
        <v>0</v>
      </c>
      <c r="AL40" s="98">
        <v>0</v>
      </c>
      <c r="AM40" s="98">
        <v>0</v>
      </c>
      <c r="AN40" s="98">
        <v>0</v>
      </c>
      <c r="AO40" s="98">
        <v>0</v>
      </c>
      <c r="AP40" s="61">
        <f t="shared" si="54"/>
        <v>0</v>
      </c>
      <c r="AQ40" s="76"/>
      <c r="AR40" s="76"/>
      <c r="AS40" s="98">
        <v>0</v>
      </c>
      <c r="AT40" s="98">
        <v>0</v>
      </c>
      <c r="AU40" s="181"/>
      <c r="AV40" s="98">
        <v>0</v>
      </c>
      <c r="AW40" s="206">
        <f t="shared" si="40"/>
        <v>0</v>
      </c>
      <c r="AX40" s="98">
        <v>0</v>
      </c>
      <c r="AY40" s="98">
        <v>0</v>
      </c>
      <c r="AZ40" s="220"/>
      <c r="BA40" s="221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  <c r="CT40" s="106"/>
      <c r="CU40" s="106"/>
      <c r="CV40" s="106"/>
      <c r="CW40" s="106"/>
      <c r="CX40" s="106"/>
      <c r="CY40" s="106"/>
      <c r="CZ40" s="106"/>
      <c r="DA40" s="106"/>
      <c r="DB40" s="106"/>
      <c r="DC40" s="106"/>
      <c r="DD40" s="106"/>
      <c r="DE40" s="106"/>
      <c r="DF40" s="106"/>
      <c r="DG40" s="106"/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106"/>
      <c r="DV40" s="106"/>
      <c r="DW40" s="106"/>
      <c r="DX40" s="106"/>
      <c r="DY40" s="106"/>
      <c r="DZ40" s="106"/>
      <c r="EA40" s="106"/>
      <c r="EB40" s="106"/>
      <c r="EC40" s="106"/>
      <c r="ED40" s="106"/>
      <c r="EE40" s="106"/>
      <c r="EF40" s="106"/>
      <c r="EG40" s="106"/>
      <c r="EH40" s="106"/>
      <c r="EI40" s="106"/>
      <c r="EJ40" s="106"/>
      <c r="EK40" s="106"/>
      <c r="EL40" s="106"/>
      <c r="EM40" s="106"/>
      <c r="EN40" s="106"/>
      <c r="EO40" s="106"/>
      <c r="EP40" s="106"/>
      <c r="EQ40" s="106"/>
      <c r="ER40" s="106"/>
      <c r="ES40" s="106"/>
      <c r="ET40" s="106"/>
      <c r="EU40" s="106"/>
      <c r="EV40" s="106"/>
      <c r="EW40" s="106"/>
      <c r="EX40" s="106"/>
      <c r="EY40" s="106"/>
      <c r="EZ40" s="106"/>
      <c r="FA40" s="106"/>
      <c r="FB40" s="106"/>
      <c r="FC40" s="106"/>
      <c r="FD40" s="106"/>
      <c r="FE40" s="106"/>
      <c r="FF40" s="106"/>
      <c r="FG40" s="106"/>
      <c r="FH40" s="106"/>
      <c r="FI40" s="106"/>
      <c r="FJ40" s="106"/>
      <c r="FK40" s="106"/>
      <c r="FL40" s="106"/>
      <c r="FM40" s="106"/>
      <c r="FN40" s="106"/>
      <c r="FO40" s="106"/>
      <c r="FP40" s="106"/>
      <c r="FQ40" s="106"/>
      <c r="FR40" s="106"/>
      <c r="FS40" s="106"/>
      <c r="FT40" s="106"/>
      <c r="FU40" s="106"/>
      <c r="FV40" s="106"/>
      <c r="FW40" s="106"/>
      <c r="FX40" s="106"/>
      <c r="FY40" s="106"/>
      <c r="FZ40" s="106"/>
      <c r="GA40" s="106"/>
      <c r="GB40" s="106"/>
      <c r="GC40" s="106"/>
      <c r="GD40" s="106"/>
      <c r="GE40" s="106"/>
      <c r="GF40" s="106"/>
      <c r="GG40" s="106"/>
      <c r="GH40" s="106"/>
      <c r="GI40" s="106"/>
      <c r="GJ40" s="106"/>
      <c r="GK40" s="106"/>
      <c r="GL40" s="106"/>
      <c r="GM40" s="106"/>
      <c r="GN40" s="106"/>
      <c r="GO40" s="106"/>
      <c r="GP40" s="106"/>
      <c r="GQ40" s="106"/>
      <c r="GR40" s="106"/>
      <c r="GS40" s="106"/>
      <c r="GT40" s="106"/>
      <c r="GU40" s="106"/>
      <c r="GV40" s="106"/>
      <c r="GW40" s="106"/>
      <c r="GX40" s="106"/>
      <c r="GY40" s="106"/>
      <c r="GZ40" s="106"/>
      <c r="HA40" s="106"/>
      <c r="HB40" s="106"/>
      <c r="HC40" s="106"/>
      <c r="HD40" s="106"/>
      <c r="HE40" s="106"/>
      <c r="HF40" s="106"/>
      <c r="HG40" s="106"/>
      <c r="HH40" s="106"/>
      <c r="HI40" s="106"/>
      <c r="HJ40" s="106"/>
      <c r="HK40" s="106"/>
      <c r="HL40" s="106"/>
      <c r="HM40" s="106"/>
      <c r="HN40" s="106"/>
      <c r="HO40" s="106"/>
      <c r="HP40" s="106"/>
      <c r="HQ40" s="106"/>
      <c r="HR40" s="106"/>
      <c r="HS40" s="106"/>
      <c r="HT40" s="106"/>
      <c r="HU40" s="106"/>
      <c r="HV40" s="106"/>
      <c r="HW40" s="106"/>
      <c r="HX40" s="106"/>
      <c r="HY40" s="106"/>
      <c r="HZ40" s="106"/>
      <c r="IA40" s="106"/>
      <c r="IB40" s="106"/>
      <c r="IC40" s="106"/>
      <c r="ID40" s="106"/>
      <c r="IE40" s="106"/>
      <c r="IF40" s="106"/>
      <c r="IG40" s="106"/>
      <c r="IH40" s="106"/>
      <c r="II40" s="106"/>
      <c r="IJ40" s="106"/>
      <c r="IK40" s="106"/>
      <c r="IL40" s="106"/>
      <c r="XDW40" s="108"/>
      <c r="XDX40" s="108"/>
      <c r="XDY40" s="108"/>
      <c r="XDZ40" s="108"/>
      <c r="XEA40" s="108"/>
      <c r="XEB40" s="108"/>
      <c r="XEC40" s="108"/>
      <c r="XED40" s="108"/>
      <c r="XEE40" s="108"/>
      <c r="XEF40" s="108"/>
      <c r="XEG40" s="108"/>
      <c r="XEH40" s="108"/>
      <c r="XEI40" s="108"/>
      <c r="XEJ40" s="108"/>
      <c r="XEK40" s="108"/>
      <c r="XEL40" s="108"/>
      <c r="XEM40" s="108"/>
      <c r="XEN40" s="108"/>
      <c r="XEO40" s="108"/>
      <c r="XEP40" s="108"/>
      <c r="XEQ40" s="108"/>
      <c r="XER40" s="108"/>
      <c r="XES40" s="108"/>
      <c r="XET40" s="108"/>
      <c r="XEU40" s="108"/>
      <c r="XEV40" s="108"/>
      <c r="XEW40" s="108"/>
      <c r="XEX40" s="108"/>
      <c r="XEY40" s="108"/>
      <c r="XEZ40" s="108"/>
      <c r="XFA40" s="108"/>
      <c r="XFB40" s="108"/>
      <c r="XFC40" s="108"/>
      <c r="XFD40" s="108"/>
    </row>
    <row r="41" s="6" customFormat="1" ht="25" hidden="1" customHeight="1" outlineLevel="1" spans="1:16384">
      <c r="A41" s="166"/>
      <c r="B41" s="167"/>
      <c r="C41" s="165"/>
      <c r="D41" s="45" t="s">
        <v>181</v>
      </c>
      <c r="E41" s="51" t="s">
        <v>163</v>
      </c>
      <c r="F41" s="51"/>
      <c r="G41" s="51"/>
      <c r="H41" s="51">
        <v>125000</v>
      </c>
      <c r="I41" s="61">
        <v>145000</v>
      </c>
      <c r="J41" s="51">
        <v>145000</v>
      </c>
      <c r="K41" s="76">
        <v>145000</v>
      </c>
      <c r="L41" s="61">
        <v>125000</v>
      </c>
      <c r="M41" s="61">
        <f t="shared" si="49"/>
        <v>20000</v>
      </c>
      <c r="N41" s="74">
        <f t="shared" si="35"/>
        <v>0.16</v>
      </c>
      <c r="O41" s="76">
        <f t="shared" ref="O41:O49" si="58">I41-K41</f>
        <v>0</v>
      </c>
      <c r="P41" s="74" t="s">
        <v>25</v>
      </c>
      <c r="Q41" s="74" t="s">
        <v>25</v>
      </c>
      <c r="R41" s="98">
        <v>0</v>
      </c>
      <c r="S41" s="98">
        <v>0</v>
      </c>
      <c r="T41" s="98">
        <v>0</v>
      </c>
      <c r="U41" s="61">
        <f t="shared" si="50"/>
        <v>145000</v>
      </c>
      <c r="V41" s="61"/>
      <c r="W41" s="61"/>
      <c r="X41" s="61">
        <f t="shared" si="57"/>
        <v>145000</v>
      </c>
      <c r="Y41" s="61">
        <v>125000</v>
      </c>
      <c r="Z41" s="189">
        <v>125000</v>
      </c>
      <c r="AA41" s="61">
        <v>125000</v>
      </c>
      <c r="AB41" s="61">
        <f t="shared" si="51"/>
        <v>0</v>
      </c>
      <c r="AC41" s="122">
        <f t="shared" si="52"/>
        <v>0</v>
      </c>
      <c r="AD41" s="74">
        <f t="shared" si="53"/>
        <v>1</v>
      </c>
      <c r="AE41" s="61"/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61">
        <f t="shared" si="54"/>
        <v>0</v>
      </c>
      <c r="AQ41" s="76"/>
      <c r="AR41" s="76"/>
      <c r="AS41" s="98">
        <v>0</v>
      </c>
      <c r="AT41" s="98">
        <v>0</v>
      </c>
      <c r="AU41" s="181"/>
      <c r="AV41" s="98">
        <v>0</v>
      </c>
      <c r="AW41" s="206">
        <f t="shared" si="40"/>
        <v>0</v>
      </c>
      <c r="AX41" s="98">
        <v>0</v>
      </c>
      <c r="AY41" s="98">
        <v>0</v>
      </c>
      <c r="AZ41" s="220"/>
      <c r="BA41" s="221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6"/>
      <c r="FI41" s="106"/>
      <c r="FJ41" s="106"/>
      <c r="FK41" s="106"/>
      <c r="FL41" s="106"/>
      <c r="FM41" s="106"/>
      <c r="FN41" s="106"/>
      <c r="FO41" s="106"/>
      <c r="FP41" s="106"/>
      <c r="FQ41" s="106"/>
      <c r="FR41" s="106"/>
      <c r="FS41" s="106"/>
      <c r="FT41" s="106"/>
      <c r="FU41" s="106"/>
      <c r="FV41" s="106"/>
      <c r="FW41" s="106"/>
      <c r="FX41" s="106"/>
      <c r="FY41" s="106"/>
      <c r="FZ41" s="106"/>
      <c r="GA41" s="106"/>
      <c r="GB41" s="106"/>
      <c r="GC41" s="106"/>
      <c r="GD41" s="106"/>
      <c r="GE41" s="106"/>
      <c r="GF41" s="106"/>
      <c r="GG41" s="106"/>
      <c r="GH41" s="106"/>
      <c r="GI41" s="106"/>
      <c r="GJ41" s="106"/>
      <c r="GK41" s="106"/>
      <c r="GL41" s="106"/>
      <c r="GM41" s="106"/>
      <c r="GN41" s="106"/>
      <c r="GO41" s="106"/>
      <c r="GP41" s="106"/>
      <c r="GQ41" s="106"/>
      <c r="GR41" s="106"/>
      <c r="GS41" s="106"/>
      <c r="GT41" s="106"/>
      <c r="GU41" s="106"/>
      <c r="GV41" s="106"/>
      <c r="GW41" s="106"/>
      <c r="GX41" s="106"/>
      <c r="GY41" s="106"/>
      <c r="GZ41" s="106"/>
      <c r="HA41" s="106"/>
      <c r="HB41" s="106"/>
      <c r="HC41" s="106"/>
      <c r="HD41" s="106"/>
      <c r="HE41" s="106"/>
      <c r="HF41" s="106"/>
      <c r="HG41" s="106"/>
      <c r="HH41" s="106"/>
      <c r="HI41" s="106"/>
      <c r="HJ41" s="106"/>
      <c r="HK41" s="106"/>
      <c r="HL41" s="106"/>
      <c r="HM41" s="106"/>
      <c r="HN41" s="106"/>
      <c r="HO41" s="106"/>
      <c r="HP41" s="106"/>
      <c r="HQ41" s="106"/>
      <c r="HR41" s="106"/>
      <c r="HS41" s="106"/>
      <c r="HT41" s="106"/>
      <c r="HU41" s="106"/>
      <c r="HV41" s="106"/>
      <c r="HW41" s="106"/>
      <c r="HX41" s="106"/>
      <c r="HY41" s="106"/>
      <c r="HZ41" s="106"/>
      <c r="IA41" s="106"/>
      <c r="IB41" s="106"/>
      <c r="IC41" s="106"/>
      <c r="ID41" s="106"/>
      <c r="IE41" s="106"/>
      <c r="IF41" s="106"/>
      <c r="IG41" s="106"/>
      <c r="IH41" s="106"/>
      <c r="II41" s="106"/>
      <c r="IJ41" s="106"/>
      <c r="IK41" s="106"/>
      <c r="IL41" s="106"/>
      <c r="XDW41" s="108"/>
      <c r="XDX41" s="108"/>
      <c r="XDY41" s="108"/>
      <c r="XDZ41" s="108"/>
      <c r="XEA41" s="108"/>
      <c r="XEB41" s="108"/>
      <c r="XEC41" s="108"/>
      <c r="XED41" s="108"/>
      <c r="XEE41" s="108"/>
      <c r="XEF41" s="108"/>
      <c r="XEG41" s="108"/>
      <c r="XEH41" s="108"/>
      <c r="XEI41" s="108"/>
      <c r="XEJ41" s="108"/>
      <c r="XEK41" s="108"/>
      <c r="XEL41" s="108"/>
      <c r="XEM41" s="108"/>
      <c r="XEN41" s="108"/>
      <c r="XEO41" s="108"/>
      <c r="XEP41" s="108"/>
      <c r="XEQ41" s="108"/>
      <c r="XER41" s="108"/>
      <c r="XES41" s="108"/>
      <c r="XET41" s="108"/>
      <c r="XEU41" s="108"/>
      <c r="XEV41" s="108"/>
      <c r="XEW41" s="108"/>
      <c r="XEX41" s="108"/>
      <c r="XEY41" s="108"/>
      <c r="XEZ41" s="108"/>
      <c r="XFA41" s="108"/>
      <c r="XFB41" s="108"/>
      <c r="XFC41" s="108"/>
      <c r="XFD41" s="108"/>
    </row>
    <row r="42" s="1" customFormat="1" ht="25" customHeight="1" collapsed="1" spans="1:16384">
      <c r="A42" s="157"/>
      <c r="B42" s="141"/>
      <c r="C42" s="164">
        <v>13</v>
      </c>
      <c r="D42" s="45" t="s">
        <v>182</v>
      </c>
      <c r="E42" s="59" t="s">
        <v>179</v>
      </c>
      <c r="F42" s="51" t="s">
        <v>183</v>
      </c>
      <c r="G42" s="51" t="s">
        <v>154</v>
      </c>
      <c r="H42" s="51">
        <v>110000</v>
      </c>
      <c r="I42" s="52">
        <v>48700</v>
      </c>
      <c r="J42" s="79">
        <v>0</v>
      </c>
      <c r="K42" s="61">
        <f>K43+K44+K47+K48</f>
        <v>45084</v>
      </c>
      <c r="L42" s="61">
        <f>L43+L44+L47+L48</f>
        <v>39099</v>
      </c>
      <c r="M42" s="61">
        <f t="shared" si="49"/>
        <v>5985</v>
      </c>
      <c r="N42" s="74">
        <f t="shared" ref="N42:N47" si="59">K42/L42-1</f>
        <v>0.153072968618123</v>
      </c>
      <c r="O42" s="76">
        <f t="shared" si="58"/>
        <v>3616</v>
      </c>
      <c r="P42" s="74">
        <f>K42/I42</f>
        <v>0.925749486652977</v>
      </c>
      <c r="Q42" s="74">
        <f t="shared" si="45"/>
        <v>0.409854545454545</v>
      </c>
      <c r="R42" s="61">
        <f>R43+R44+R47+R48</f>
        <v>5312</v>
      </c>
      <c r="S42" s="61">
        <f>S43+S44+S47+S48</f>
        <v>5738</v>
      </c>
      <c r="T42" s="61">
        <f>T43+T44+T47+T48</f>
        <v>7518</v>
      </c>
      <c r="U42" s="61">
        <f t="shared" si="50"/>
        <v>50396</v>
      </c>
      <c r="V42" s="61"/>
      <c r="W42" s="61"/>
      <c r="X42" s="61">
        <f t="shared" si="57"/>
        <v>63652</v>
      </c>
      <c r="Y42" s="61">
        <f>Y43+Y44+Y47+Y48</f>
        <v>63000</v>
      </c>
      <c r="Z42" s="194">
        <v>63000</v>
      </c>
      <c r="AA42" s="61">
        <f>AA43+AA44+AA47+AA48</f>
        <v>55464</v>
      </c>
      <c r="AB42" s="61">
        <f t="shared" si="51"/>
        <v>7536</v>
      </c>
      <c r="AC42" s="122">
        <f t="shared" si="52"/>
        <v>0.135871916919083</v>
      </c>
      <c r="AD42" s="74">
        <f t="shared" si="53"/>
        <v>0.572727272727273</v>
      </c>
      <c r="AE42" s="61">
        <f>K42-I42</f>
        <v>-3616</v>
      </c>
      <c r="AF42" s="52">
        <v>6700</v>
      </c>
      <c r="AG42" s="61">
        <v>1850</v>
      </c>
      <c r="AH42" s="61">
        <f t="shared" ref="AG42:AJ42" si="60">AH43+AH44+AH47+AH48</f>
        <v>423</v>
      </c>
      <c r="AI42" s="52">
        <v>1850</v>
      </c>
      <c r="AJ42" s="61">
        <f t="shared" si="60"/>
        <v>1454</v>
      </c>
      <c r="AK42" s="74">
        <f>(AJ42-AH42)/ABS(AH42)</f>
        <v>2.43735224586288</v>
      </c>
      <c r="AL42" s="74">
        <f>AJ42/AG42</f>
        <v>0.785945945945946</v>
      </c>
      <c r="AM42" s="61">
        <f t="shared" ref="AM42:AO42" si="61">AM43+AM44+AM47+AM48</f>
        <v>2</v>
      </c>
      <c r="AN42" s="61">
        <f t="shared" si="61"/>
        <v>-8</v>
      </c>
      <c r="AO42" s="61">
        <f t="shared" si="61"/>
        <v>7</v>
      </c>
      <c r="AP42" s="61">
        <f t="shared" si="54"/>
        <v>1456</v>
      </c>
      <c r="AQ42" s="61"/>
      <c r="AR42" s="61"/>
      <c r="AS42" s="61">
        <f t="shared" ref="AS40:AS48" si="62">AJ42+AM42+AN42+AO42</f>
        <v>1455</v>
      </c>
      <c r="AT42" s="61">
        <f>AT43+AT44+AT47+AT48</f>
        <v>1500</v>
      </c>
      <c r="AU42" s="194">
        <v>1500</v>
      </c>
      <c r="AV42" s="61">
        <f>AV43+AV44+AV47+AV48</f>
        <v>437</v>
      </c>
      <c r="AW42" s="206">
        <f t="shared" si="40"/>
        <v>1063</v>
      </c>
      <c r="AX42" s="74">
        <f t="shared" si="55"/>
        <v>2.4324942791762</v>
      </c>
      <c r="AY42" s="74">
        <f t="shared" si="56"/>
        <v>0.223880597014925</v>
      </c>
      <c r="AZ42" s="207"/>
      <c r="BA42" s="208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XDW42" s="13"/>
      <c r="XDX42" s="13"/>
      <c r="XDY42" s="13"/>
      <c r="XDZ42" s="13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3"/>
      <c r="XEO42" s="13"/>
      <c r="XEP42" s="13"/>
      <c r="XEQ42" s="13"/>
      <c r="XER42" s="13"/>
      <c r="XES42" s="13"/>
      <c r="XET42" s="13"/>
      <c r="XEU42" s="13"/>
      <c r="XEV42" s="13"/>
      <c r="XEW42" s="13"/>
      <c r="XEX42" s="13"/>
      <c r="XEY42" s="13"/>
      <c r="XEZ42" s="13"/>
      <c r="XFA42" s="13"/>
      <c r="XFB42" s="13"/>
      <c r="XFC42" s="13"/>
      <c r="XFD42" s="13"/>
    </row>
    <row r="43" s="1" customFormat="1" ht="25" hidden="1" customHeight="1" outlineLevel="1" spans="1:16384">
      <c r="A43" s="157"/>
      <c r="B43" s="141"/>
      <c r="C43" s="165" t="s">
        <v>169</v>
      </c>
      <c r="D43" s="45" t="s">
        <v>184</v>
      </c>
      <c r="E43" s="52"/>
      <c r="F43" s="51"/>
      <c r="G43" s="51"/>
      <c r="H43" s="51">
        <v>10000</v>
      </c>
      <c r="I43" s="52">
        <v>4200</v>
      </c>
      <c r="J43" s="79">
        <v>0</v>
      </c>
      <c r="K43" s="76">
        <v>4506</v>
      </c>
      <c r="L43" s="61">
        <v>1670</v>
      </c>
      <c r="M43" s="61">
        <f t="shared" si="49"/>
        <v>2836</v>
      </c>
      <c r="N43" s="74">
        <f t="shared" si="59"/>
        <v>1.69820359281437</v>
      </c>
      <c r="O43" s="76"/>
      <c r="P43" s="74">
        <f>K43/I43</f>
        <v>1.07285714285714</v>
      </c>
      <c r="Q43" s="74">
        <f t="shared" si="45"/>
        <v>0.4506</v>
      </c>
      <c r="R43" s="61">
        <v>400</v>
      </c>
      <c r="S43" s="61">
        <v>400</v>
      </c>
      <c r="T43" s="61">
        <v>700</v>
      </c>
      <c r="U43" s="61">
        <f t="shared" si="50"/>
        <v>4906</v>
      </c>
      <c r="V43" s="61"/>
      <c r="W43" s="61"/>
      <c r="X43" s="61">
        <f t="shared" si="57"/>
        <v>6006</v>
      </c>
      <c r="Y43" s="61">
        <v>6000</v>
      </c>
      <c r="Z43" s="189">
        <v>6000</v>
      </c>
      <c r="AA43" s="61">
        <v>2501</v>
      </c>
      <c r="AB43" s="61">
        <f t="shared" si="51"/>
        <v>3499</v>
      </c>
      <c r="AC43" s="122">
        <f t="shared" si="52"/>
        <v>1.39904038384646</v>
      </c>
      <c r="AD43" s="74">
        <f t="shared" si="53"/>
        <v>0.6</v>
      </c>
      <c r="AE43" s="61"/>
      <c r="AF43" s="52">
        <v>1200</v>
      </c>
      <c r="AG43" s="52">
        <v>400</v>
      </c>
      <c r="AH43" s="76">
        <v>5</v>
      </c>
      <c r="AI43" s="52"/>
      <c r="AJ43" s="76">
        <v>462</v>
      </c>
      <c r="AK43" s="74">
        <f>(AJ43-AH43)/ABS(AH43)</f>
        <v>91.4</v>
      </c>
      <c r="AL43" s="74">
        <f>AJ43/AG43</f>
        <v>1.155</v>
      </c>
      <c r="AM43" s="61">
        <v>56</v>
      </c>
      <c r="AN43" s="61">
        <v>36</v>
      </c>
      <c r="AO43" s="61">
        <v>7</v>
      </c>
      <c r="AP43" s="61">
        <f t="shared" si="54"/>
        <v>518</v>
      </c>
      <c r="AQ43" s="61"/>
      <c r="AR43" s="61"/>
      <c r="AS43" s="61">
        <f t="shared" si="62"/>
        <v>561</v>
      </c>
      <c r="AT43" s="61">
        <v>600</v>
      </c>
      <c r="AU43" s="189">
        <v>600</v>
      </c>
      <c r="AV43" s="61">
        <v>-124</v>
      </c>
      <c r="AW43" s="206">
        <f t="shared" si="40"/>
        <v>724</v>
      </c>
      <c r="AX43" s="74">
        <f t="shared" si="55"/>
        <v>5.83870967741935</v>
      </c>
      <c r="AY43" s="74">
        <f t="shared" si="56"/>
        <v>0.5</v>
      </c>
      <c r="AZ43" s="207"/>
      <c r="BA43" s="208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XDW43" s="13"/>
      <c r="XDX43" s="13"/>
      <c r="XDY43" s="13"/>
      <c r="XDZ43" s="13"/>
      <c r="XEA43" s="13"/>
      <c r="XEB43" s="13"/>
      <c r="XEC43" s="13"/>
      <c r="XED43" s="13"/>
      <c r="XEE43" s="13"/>
      <c r="XEF43" s="13"/>
      <c r="XEG43" s="13"/>
      <c r="XEH43" s="13"/>
      <c r="XEI43" s="13"/>
      <c r="XEJ43" s="13"/>
      <c r="XEK43" s="13"/>
      <c r="XEL43" s="13"/>
      <c r="XEM43" s="13"/>
      <c r="XEN43" s="13"/>
      <c r="XEO43" s="13"/>
      <c r="XEP43" s="13"/>
      <c r="XEQ43" s="13"/>
      <c r="XER43" s="13"/>
      <c r="XES43" s="13"/>
      <c r="XET43" s="13"/>
      <c r="XEU43" s="13"/>
      <c r="XEV43" s="13"/>
      <c r="XEW43" s="13"/>
      <c r="XEX43" s="13"/>
      <c r="XEY43" s="13"/>
      <c r="XEZ43" s="13"/>
      <c r="XFA43" s="13"/>
      <c r="XFB43" s="13"/>
      <c r="XFC43" s="13"/>
      <c r="XFD43" s="13"/>
    </row>
    <row r="44" s="1" customFormat="1" ht="25" hidden="1" customHeight="1" outlineLevel="1" spans="1:16384">
      <c r="A44" s="157"/>
      <c r="B44" s="141"/>
      <c r="C44" s="165" t="s">
        <v>171</v>
      </c>
      <c r="D44" s="45" t="s">
        <v>185</v>
      </c>
      <c r="E44" s="52"/>
      <c r="F44" s="51"/>
      <c r="G44" s="51"/>
      <c r="H44" s="51">
        <v>28600</v>
      </c>
      <c r="I44" s="52">
        <v>15000</v>
      </c>
      <c r="J44" s="79">
        <v>0</v>
      </c>
      <c r="K44" s="76">
        <v>15863</v>
      </c>
      <c r="L44" s="61">
        <f>16517</f>
        <v>16517</v>
      </c>
      <c r="M44" s="61">
        <f t="shared" si="49"/>
        <v>-654</v>
      </c>
      <c r="N44" s="74">
        <f t="shared" si="59"/>
        <v>-0.039595568202458</v>
      </c>
      <c r="O44" s="76"/>
      <c r="P44" s="74">
        <f>K44/I44</f>
        <v>1.05753333333333</v>
      </c>
      <c r="Q44" s="74">
        <f t="shared" si="45"/>
        <v>0.55465034965035</v>
      </c>
      <c r="R44" s="61">
        <v>1500</v>
      </c>
      <c r="S44" s="61">
        <v>2000</v>
      </c>
      <c r="T44" s="61">
        <v>2100</v>
      </c>
      <c r="U44" s="61">
        <f t="shared" si="50"/>
        <v>17363</v>
      </c>
      <c r="V44" s="61"/>
      <c r="W44" s="61"/>
      <c r="X44" s="61">
        <f t="shared" si="57"/>
        <v>21463</v>
      </c>
      <c r="Y44" s="61">
        <v>22000</v>
      </c>
      <c r="Z44" s="189">
        <v>22000</v>
      </c>
      <c r="AA44" s="61">
        <v>23552</v>
      </c>
      <c r="AB44" s="61">
        <f t="shared" si="51"/>
        <v>-1552</v>
      </c>
      <c r="AC44" s="122">
        <f t="shared" si="52"/>
        <v>-0.0658967391304348</v>
      </c>
      <c r="AD44" s="74">
        <f t="shared" si="53"/>
        <v>0.769230769230769</v>
      </c>
      <c r="AE44" s="61"/>
      <c r="AF44" s="52">
        <v>100</v>
      </c>
      <c r="AG44" s="52">
        <v>50</v>
      </c>
      <c r="AH44" s="76">
        <v>-445</v>
      </c>
      <c r="AI44" s="52"/>
      <c r="AJ44" s="76">
        <f>-393+443</f>
        <v>50</v>
      </c>
      <c r="AK44" s="74">
        <f>(AJ44-AH44)/ABS(AH44)</f>
        <v>1.1123595505618</v>
      </c>
      <c r="AL44" s="74">
        <f>AJ44/AG44</f>
        <v>1</v>
      </c>
      <c r="AM44" s="61">
        <f>-59+64</f>
        <v>5</v>
      </c>
      <c r="AN44" s="61">
        <f>-54+64</f>
        <v>10</v>
      </c>
      <c r="AO44" s="61">
        <f>-54+64</f>
        <v>10</v>
      </c>
      <c r="AP44" s="61">
        <f t="shared" si="54"/>
        <v>55</v>
      </c>
      <c r="AQ44" s="61"/>
      <c r="AR44" s="61"/>
      <c r="AS44" s="61">
        <f t="shared" si="62"/>
        <v>75</v>
      </c>
      <c r="AT44" s="61">
        <v>80</v>
      </c>
      <c r="AU44" s="189">
        <v>80</v>
      </c>
      <c r="AV44" s="195">
        <f>233-551</f>
        <v>-318</v>
      </c>
      <c r="AW44" s="206">
        <f t="shared" si="40"/>
        <v>398</v>
      </c>
      <c r="AX44" s="74">
        <f t="shared" si="55"/>
        <v>1.25157232704403</v>
      </c>
      <c r="AY44" s="74">
        <f t="shared" si="56"/>
        <v>0.8</v>
      </c>
      <c r="AZ44" s="207"/>
      <c r="BA44" s="208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XDW44" s="13"/>
      <c r="XDX44" s="13"/>
      <c r="XDY44" s="13"/>
      <c r="XDZ44" s="13"/>
      <c r="XEA44" s="13"/>
      <c r="XEB44" s="13"/>
      <c r="XEC44" s="13"/>
      <c r="XED44" s="13"/>
      <c r="XEE44" s="13"/>
      <c r="XEF44" s="13"/>
      <c r="XEG44" s="13"/>
      <c r="XEH44" s="13"/>
      <c r="XEI44" s="13"/>
      <c r="XEJ44" s="13"/>
      <c r="XEK44" s="13"/>
      <c r="XEL44" s="13"/>
      <c r="XEM44" s="13"/>
      <c r="XEN44" s="13"/>
      <c r="XEO44" s="13"/>
      <c r="XEP44" s="13"/>
      <c r="XEQ44" s="13"/>
      <c r="XER44" s="13"/>
      <c r="XES44" s="13"/>
      <c r="XET44" s="13"/>
      <c r="XEU44" s="13"/>
      <c r="XEV44" s="13"/>
      <c r="XEW44" s="13"/>
      <c r="XEX44" s="13"/>
      <c r="XEY44" s="13"/>
      <c r="XEZ44" s="13"/>
      <c r="XFA44" s="13"/>
      <c r="XFB44" s="13"/>
      <c r="XFC44" s="13"/>
      <c r="XFD44" s="13"/>
    </row>
    <row r="45" s="1" customFormat="1" ht="25" hidden="1" customHeight="1" outlineLevel="2" spans="1:16384">
      <c r="A45" s="157"/>
      <c r="B45" s="141"/>
      <c r="C45" s="165"/>
      <c r="D45" s="45" t="s">
        <v>161</v>
      </c>
      <c r="E45" s="52"/>
      <c r="F45" s="51"/>
      <c r="G45" s="51"/>
      <c r="H45" s="51">
        <f>H44-H46</f>
        <v>28600</v>
      </c>
      <c r="I45" s="61">
        <f>I44-I46</f>
        <v>15000</v>
      </c>
      <c r="J45" s="79">
        <v>0</v>
      </c>
      <c r="K45" s="61">
        <f>K44-K46</f>
        <v>15477</v>
      </c>
      <c r="L45" s="61">
        <f>L44-L46</f>
        <v>10861</v>
      </c>
      <c r="M45" s="61">
        <f t="shared" si="49"/>
        <v>4616</v>
      </c>
      <c r="N45" s="74">
        <f t="shared" si="59"/>
        <v>0.425006905441488</v>
      </c>
      <c r="O45" s="76"/>
      <c r="P45" s="98">
        <v>0</v>
      </c>
      <c r="Q45" s="74">
        <f t="shared" si="45"/>
        <v>0.541153846153846</v>
      </c>
      <c r="R45" s="98">
        <v>0</v>
      </c>
      <c r="S45" s="98">
        <v>0</v>
      </c>
      <c r="T45" s="98">
        <v>0</v>
      </c>
      <c r="U45" s="61">
        <f t="shared" si="50"/>
        <v>15477</v>
      </c>
      <c r="V45" s="61"/>
      <c r="W45" s="61"/>
      <c r="X45" s="61">
        <f t="shared" si="57"/>
        <v>15477</v>
      </c>
      <c r="Y45" s="61">
        <f>Y44-Y46</f>
        <v>21600</v>
      </c>
      <c r="Z45" s="189">
        <v>21600</v>
      </c>
      <c r="AA45" s="61">
        <f>AA44-AA46</f>
        <v>23096.8</v>
      </c>
      <c r="AB45" s="61">
        <f t="shared" si="51"/>
        <v>-1496.8</v>
      </c>
      <c r="AC45" s="122">
        <f t="shared" si="52"/>
        <v>-0.064805514183783</v>
      </c>
      <c r="AD45" s="74">
        <f t="shared" si="53"/>
        <v>0.755244755244755</v>
      </c>
      <c r="AE45" s="61"/>
      <c r="AF45" s="52"/>
      <c r="AG45" s="52"/>
      <c r="AH45" s="98">
        <v>0</v>
      </c>
      <c r="AI45" s="52"/>
      <c r="AJ45" s="98">
        <v>0</v>
      </c>
      <c r="AK45" s="98">
        <v>0</v>
      </c>
      <c r="AL45" s="74"/>
      <c r="AM45" s="98">
        <v>0</v>
      </c>
      <c r="AN45" s="98">
        <v>0</v>
      </c>
      <c r="AO45" s="98">
        <v>0</v>
      </c>
      <c r="AP45" s="61">
        <f t="shared" si="54"/>
        <v>0</v>
      </c>
      <c r="AQ45" s="61"/>
      <c r="AR45" s="61"/>
      <c r="AS45" s="98">
        <v>0</v>
      </c>
      <c r="AT45" s="98"/>
      <c r="AU45" s="181"/>
      <c r="AV45" s="98">
        <v>0</v>
      </c>
      <c r="AW45" s="206">
        <f t="shared" si="40"/>
        <v>0</v>
      </c>
      <c r="AX45" s="98">
        <v>0</v>
      </c>
      <c r="AY45" s="98">
        <v>0</v>
      </c>
      <c r="AZ45" s="220"/>
      <c r="BA45" s="221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XDW45" s="13"/>
      <c r="XDX45" s="13"/>
      <c r="XDY45" s="13"/>
      <c r="XDZ45" s="13"/>
      <c r="XEA45" s="13"/>
      <c r="XEB45" s="13"/>
      <c r="XEC45" s="13"/>
      <c r="XED45" s="13"/>
      <c r="XEE45" s="13"/>
      <c r="XEF45" s="13"/>
      <c r="XEG45" s="13"/>
      <c r="XEH45" s="13"/>
      <c r="XEI45" s="13"/>
      <c r="XEJ45" s="13"/>
      <c r="XEK45" s="13"/>
      <c r="XEL45" s="13"/>
      <c r="XEM45" s="13"/>
      <c r="XEN45" s="13"/>
      <c r="XEO45" s="13"/>
      <c r="XEP45" s="13"/>
      <c r="XEQ45" s="13"/>
      <c r="XER45" s="13"/>
      <c r="XES45" s="13"/>
      <c r="XET45" s="13"/>
      <c r="XEU45" s="13"/>
      <c r="XEV45" s="13"/>
      <c r="XEW45" s="13"/>
      <c r="XEX45" s="13"/>
      <c r="XEY45" s="13"/>
      <c r="XEZ45" s="13"/>
      <c r="XFA45" s="13"/>
      <c r="XFB45" s="13"/>
      <c r="XFC45" s="13"/>
      <c r="XFD45" s="13"/>
    </row>
    <row r="46" s="1" customFormat="1" ht="25" hidden="1" customHeight="1" outlineLevel="2" spans="1:16384">
      <c r="A46" s="157"/>
      <c r="B46" s="141"/>
      <c r="C46" s="165"/>
      <c r="D46" s="45" t="s">
        <v>162</v>
      </c>
      <c r="E46" s="51" t="s">
        <v>163</v>
      </c>
      <c r="F46" s="51"/>
      <c r="G46" s="51"/>
      <c r="H46" s="51">
        <v>0</v>
      </c>
      <c r="I46" s="52">
        <v>0</v>
      </c>
      <c r="J46" s="79">
        <v>0</v>
      </c>
      <c r="K46" s="76">
        <v>386</v>
      </c>
      <c r="L46" s="61">
        <v>5656</v>
      </c>
      <c r="M46" s="61">
        <f t="shared" si="49"/>
        <v>-5270</v>
      </c>
      <c r="N46" s="74">
        <f t="shared" si="59"/>
        <v>-0.931753889674682</v>
      </c>
      <c r="O46" s="76"/>
      <c r="P46" s="98">
        <v>0</v>
      </c>
      <c r="Q46" s="74" t="s">
        <v>25</v>
      </c>
      <c r="R46" s="98">
        <v>0</v>
      </c>
      <c r="S46" s="98">
        <v>0</v>
      </c>
      <c r="T46" s="98">
        <v>0</v>
      </c>
      <c r="U46" s="61">
        <f t="shared" si="50"/>
        <v>386</v>
      </c>
      <c r="V46" s="61"/>
      <c r="W46" s="61"/>
      <c r="X46" s="61">
        <f t="shared" si="57"/>
        <v>386</v>
      </c>
      <c r="Y46" s="61">
        <v>400</v>
      </c>
      <c r="Z46" s="189">
        <v>400</v>
      </c>
      <c r="AA46" s="195">
        <v>455.2</v>
      </c>
      <c r="AB46" s="61">
        <f t="shared" si="51"/>
        <v>-55.2</v>
      </c>
      <c r="AC46" s="122">
        <f t="shared" si="52"/>
        <v>-0.121265377855888</v>
      </c>
      <c r="AD46" s="74" t="s">
        <v>25</v>
      </c>
      <c r="AE46" s="61"/>
      <c r="AF46" s="52"/>
      <c r="AG46" s="52"/>
      <c r="AH46" s="98">
        <v>0</v>
      </c>
      <c r="AI46" s="52"/>
      <c r="AJ46" s="98">
        <v>0</v>
      </c>
      <c r="AK46" s="98">
        <v>0</v>
      </c>
      <c r="AL46" s="74"/>
      <c r="AM46" s="98">
        <v>0</v>
      </c>
      <c r="AN46" s="98">
        <v>0</v>
      </c>
      <c r="AO46" s="98">
        <v>0</v>
      </c>
      <c r="AP46" s="61">
        <f t="shared" si="54"/>
        <v>0</v>
      </c>
      <c r="AQ46" s="61"/>
      <c r="AR46" s="61"/>
      <c r="AS46" s="98">
        <v>0</v>
      </c>
      <c r="AT46" s="98"/>
      <c r="AU46" s="181"/>
      <c r="AV46" s="98">
        <v>0</v>
      </c>
      <c r="AW46" s="206">
        <f t="shared" si="40"/>
        <v>0</v>
      </c>
      <c r="AX46" s="98">
        <v>0</v>
      </c>
      <c r="AY46" s="98">
        <v>0</v>
      </c>
      <c r="AZ46" s="220"/>
      <c r="BA46" s="221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XDW46" s="13"/>
      <c r="XDX46" s="13"/>
      <c r="XDY46" s="13"/>
      <c r="XDZ46" s="13"/>
      <c r="XEA46" s="13"/>
      <c r="XEB46" s="13"/>
      <c r="XEC46" s="13"/>
      <c r="XED46" s="13"/>
      <c r="XEE46" s="13"/>
      <c r="XEF46" s="13"/>
      <c r="XEG46" s="13"/>
      <c r="XEH46" s="13"/>
      <c r="XEI46" s="13"/>
      <c r="XEJ46" s="13"/>
      <c r="XEK46" s="13"/>
      <c r="XEL46" s="13"/>
      <c r="XEM46" s="13"/>
      <c r="XEN46" s="13"/>
      <c r="XEO46" s="13"/>
      <c r="XEP46" s="13"/>
      <c r="XEQ46" s="13"/>
      <c r="XER46" s="13"/>
      <c r="XES46" s="13"/>
      <c r="XET46" s="13"/>
      <c r="XEU46" s="13"/>
      <c r="XEV46" s="13"/>
      <c r="XEW46" s="13"/>
      <c r="XEX46" s="13"/>
      <c r="XEY46" s="13"/>
      <c r="XEZ46" s="13"/>
      <c r="XFA46" s="13"/>
      <c r="XFB46" s="13"/>
      <c r="XFC46" s="13"/>
      <c r="XFD46" s="13"/>
    </row>
    <row r="47" s="1" customFormat="1" ht="25" hidden="1" customHeight="1" outlineLevel="1" collapsed="1" spans="1:16384">
      <c r="A47" s="157"/>
      <c r="B47" s="141"/>
      <c r="C47" s="165" t="s">
        <v>186</v>
      </c>
      <c r="D47" s="45" t="s">
        <v>60</v>
      </c>
      <c r="E47" s="52"/>
      <c r="F47" s="51"/>
      <c r="G47" s="51"/>
      <c r="H47" s="51">
        <v>37000</v>
      </c>
      <c r="I47" s="52">
        <v>18500</v>
      </c>
      <c r="J47" s="79">
        <v>0</v>
      </c>
      <c r="K47" s="76">
        <v>15562</v>
      </c>
      <c r="L47" s="61">
        <v>14543</v>
      </c>
      <c r="M47" s="61">
        <f t="shared" si="49"/>
        <v>1019</v>
      </c>
      <c r="N47" s="74">
        <f t="shared" si="59"/>
        <v>0.0700680739874855</v>
      </c>
      <c r="O47" s="76">
        <f t="shared" si="58"/>
        <v>2938</v>
      </c>
      <c r="P47" s="74">
        <f t="shared" ref="P47:P62" si="63">K47/I47</f>
        <v>0.841189189189189</v>
      </c>
      <c r="Q47" s="74">
        <f t="shared" si="45"/>
        <v>0.420594594594595</v>
      </c>
      <c r="R47" s="61">
        <v>1200</v>
      </c>
      <c r="S47" s="61">
        <v>1500</v>
      </c>
      <c r="T47" s="61">
        <v>4236</v>
      </c>
      <c r="U47" s="61">
        <f t="shared" si="50"/>
        <v>16762</v>
      </c>
      <c r="V47" s="61"/>
      <c r="W47" s="61"/>
      <c r="X47" s="61">
        <f t="shared" si="57"/>
        <v>22498</v>
      </c>
      <c r="Y47" s="61">
        <v>23500</v>
      </c>
      <c r="Z47" s="189">
        <v>23500</v>
      </c>
      <c r="AA47" s="61">
        <v>21224</v>
      </c>
      <c r="AB47" s="61">
        <f t="shared" si="51"/>
        <v>2276</v>
      </c>
      <c r="AC47" s="122">
        <f t="shared" si="52"/>
        <v>0.107237090086694</v>
      </c>
      <c r="AD47" s="74">
        <f t="shared" si="53"/>
        <v>0.635135135135135</v>
      </c>
      <c r="AE47" s="61"/>
      <c r="AF47" s="52">
        <v>3400</v>
      </c>
      <c r="AG47" s="52">
        <v>1700</v>
      </c>
      <c r="AH47" s="76">
        <v>1378</v>
      </c>
      <c r="AI47" s="52"/>
      <c r="AJ47" s="76">
        <v>1720</v>
      </c>
      <c r="AK47" s="74">
        <f t="shared" ref="AK47:AK52" si="64">(AJ47-AH47)/ABS(AH47)</f>
        <v>0.248185776487663</v>
      </c>
      <c r="AL47" s="74">
        <f>AJ47/AG47</f>
        <v>1.01176470588235</v>
      </c>
      <c r="AM47" s="61">
        <v>100</v>
      </c>
      <c r="AN47" s="61">
        <v>170</v>
      </c>
      <c r="AO47" s="61">
        <v>210</v>
      </c>
      <c r="AP47" s="61">
        <f t="shared" si="54"/>
        <v>1820</v>
      </c>
      <c r="AQ47" s="61"/>
      <c r="AR47" s="61"/>
      <c r="AS47" s="61">
        <f t="shared" si="62"/>
        <v>2200</v>
      </c>
      <c r="AT47" s="61">
        <v>2300</v>
      </c>
      <c r="AU47" s="189">
        <v>2300</v>
      </c>
      <c r="AV47" s="61">
        <v>1816</v>
      </c>
      <c r="AW47" s="206">
        <f t="shared" si="40"/>
        <v>484</v>
      </c>
      <c r="AX47" s="74">
        <f t="shared" ref="AX47:AX56" si="65">(AT47-AV47)/ABS(AV47)</f>
        <v>0.266519823788546</v>
      </c>
      <c r="AY47" s="74">
        <f>AT47/AF47</f>
        <v>0.676470588235294</v>
      </c>
      <c r="AZ47" s="207"/>
      <c r="BA47" s="208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XDW47" s="13"/>
      <c r="XDX47" s="13"/>
      <c r="XDY47" s="13"/>
      <c r="XDZ47" s="13"/>
      <c r="XEA47" s="13"/>
      <c r="XEB47" s="13"/>
      <c r="XEC47" s="13"/>
      <c r="XED47" s="13"/>
      <c r="XEE47" s="13"/>
      <c r="XEF47" s="13"/>
      <c r="XEG47" s="13"/>
      <c r="XEH47" s="13"/>
      <c r="XEI47" s="13"/>
      <c r="XEJ47" s="13"/>
      <c r="XEK47" s="13"/>
      <c r="XEL47" s="13"/>
      <c r="XEM47" s="13"/>
      <c r="XEN47" s="13"/>
      <c r="XEO47" s="13"/>
      <c r="XEP47" s="13"/>
      <c r="XEQ47" s="13"/>
      <c r="XER47" s="13"/>
      <c r="XES47" s="13"/>
      <c r="XET47" s="13"/>
      <c r="XEU47" s="13"/>
      <c r="XEV47" s="13"/>
      <c r="XEW47" s="13"/>
      <c r="XEX47" s="13"/>
      <c r="XEY47" s="13"/>
      <c r="XEZ47" s="13"/>
      <c r="XFA47" s="13"/>
      <c r="XFB47" s="13"/>
      <c r="XFC47" s="13"/>
      <c r="XFD47" s="13"/>
    </row>
    <row r="48" s="6" customFormat="1" ht="25" hidden="1" customHeight="1" outlineLevel="1" spans="1:16384">
      <c r="A48" s="166"/>
      <c r="B48" s="167"/>
      <c r="C48" s="165" t="s">
        <v>187</v>
      </c>
      <c r="D48" s="45" t="s">
        <v>61</v>
      </c>
      <c r="E48" s="52"/>
      <c r="F48" s="51"/>
      <c r="G48" s="51"/>
      <c r="H48" s="51">
        <v>35000</v>
      </c>
      <c r="I48" s="52">
        <v>11000</v>
      </c>
      <c r="J48" s="79">
        <v>0</v>
      </c>
      <c r="K48" s="76">
        <v>9153</v>
      </c>
      <c r="L48" s="61">
        <v>6369</v>
      </c>
      <c r="M48" s="61">
        <f t="shared" si="49"/>
        <v>2784</v>
      </c>
      <c r="N48" s="74">
        <f t="shared" ref="N48:N61" si="66">K48/L48-1</f>
        <v>0.43711728685822</v>
      </c>
      <c r="O48" s="76">
        <f t="shared" si="58"/>
        <v>1847</v>
      </c>
      <c r="P48" s="74">
        <f t="shared" si="63"/>
        <v>0.832090909090909</v>
      </c>
      <c r="Q48" s="74">
        <f t="shared" si="45"/>
        <v>0.261514285714286</v>
      </c>
      <c r="R48" s="61">
        <v>2212</v>
      </c>
      <c r="S48" s="61">
        <v>1838</v>
      </c>
      <c r="T48" s="61">
        <v>482</v>
      </c>
      <c r="U48" s="61">
        <f t="shared" si="50"/>
        <v>11365</v>
      </c>
      <c r="V48" s="61"/>
      <c r="W48" s="61"/>
      <c r="X48" s="61">
        <f t="shared" si="57"/>
        <v>13685</v>
      </c>
      <c r="Y48" s="61">
        <v>11500</v>
      </c>
      <c r="Z48" s="189">
        <v>11500</v>
      </c>
      <c r="AA48" s="61">
        <v>8187</v>
      </c>
      <c r="AB48" s="61">
        <f t="shared" si="51"/>
        <v>3313</v>
      </c>
      <c r="AC48" s="122">
        <f t="shared" si="52"/>
        <v>0.404665933797484</v>
      </c>
      <c r="AD48" s="74">
        <f t="shared" si="53"/>
        <v>0.328571428571429</v>
      </c>
      <c r="AE48" s="61"/>
      <c r="AF48" s="52">
        <v>2000</v>
      </c>
      <c r="AG48" s="52">
        <v>-300</v>
      </c>
      <c r="AH48" s="76">
        <v>-515</v>
      </c>
      <c r="AI48" s="52"/>
      <c r="AJ48" s="76">
        <v>-778</v>
      </c>
      <c r="AK48" s="74">
        <f t="shared" si="64"/>
        <v>-0.510679611650485</v>
      </c>
      <c r="AL48" s="74" t="s">
        <v>25</v>
      </c>
      <c r="AM48" s="61">
        <v>-159</v>
      </c>
      <c r="AN48" s="61">
        <v>-224</v>
      </c>
      <c r="AO48" s="61">
        <v>-220</v>
      </c>
      <c r="AP48" s="61">
        <f t="shared" si="54"/>
        <v>-937</v>
      </c>
      <c r="AQ48" s="61"/>
      <c r="AR48" s="61"/>
      <c r="AS48" s="61">
        <f t="shared" si="62"/>
        <v>-1381</v>
      </c>
      <c r="AT48" s="61">
        <v>-1480</v>
      </c>
      <c r="AU48" s="189">
        <v>-1480</v>
      </c>
      <c r="AV48" s="61">
        <v>-937</v>
      </c>
      <c r="AW48" s="206">
        <f t="shared" si="40"/>
        <v>-543</v>
      </c>
      <c r="AX48" s="74">
        <f t="shared" si="65"/>
        <v>-0.579509071504803</v>
      </c>
      <c r="AY48" s="74" t="s">
        <v>25</v>
      </c>
      <c r="AZ48" s="207"/>
      <c r="BA48" s="208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06"/>
      <c r="DG48" s="106"/>
      <c r="DH48" s="106"/>
      <c r="DI48" s="106"/>
      <c r="DJ48" s="106"/>
      <c r="DK48" s="106"/>
      <c r="DL48" s="106"/>
      <c r="DM48" s="106"/>
      <c r="DN48" s="106"/>
      <c r="DO48" s="106"/>
      <c r="DP48" s="106"/>
      <c r="DQ48" s="106"/>
      <c r="DR48" s="106"/>
      <c r="DS48" s="106"/>
      <c r="DT48" s="106"/>
      <c r="DU48" s="106"/>
      <c r="DV48" s="106"/>
      <c r="DW48" s="106"/>
      <c r="DX48" s="106"/>
      <c r="DY48" s="106"/>
      <c r="DZ48" s="106"/>
      <c r="EA48" s="106"/>
      <c r="EB48" s="106"/>
      <c r="EC48" s="106"/>
      <c r="ED48" s="106"/>
      <c r="EE48" s="106"/>
      <c r="EF48" s="106"/>
      <c r="EG48" s="106"/>
      <c r="EH48" s="106"/>
      <c r="EI48" s="106"/>
      <c r="EJ48" s="106"/>
      <c r="EK48" s="106"/>
      <c r="EL48" s="106"/>
      <c r="EM48" s="106"/>
      <c r="EN48" s="106"/>
      <c r="EO48" s="106"/>
      <c r="EP48" s="106"/>
      <c r="EQ48" s="106"/>
      <c r="ER48" s="106"/>
      <c r="ES48" s="106"/>
      <c r="ET48" s="106"/>
      <c r="EU48" s="106"/>
      <c r="EV48" s="106"/>
      <c r="EW48" s="106"/>
      <c r="EX48" s="106"/>
      <c r="EY48" s="106"/>
      <c r="EZ48" s="106"/>
      <c r="FA48" s="106"/>
      <c r="FB48" s="106"/>
      <c r="FC48" s="106"/>
      <c r="FD48" s="106"/>
      <c r="FE48" s="106"/>
      <c r="FF48" s="106"/>
      <c r="FG48" s="106"/>
      <c r="FH48" s="106"/>
      <c r="FI48" s="106"/>
      <c r="FJ48" s="106"/>
      <c r="FK48" s="106"/>
      <c r="FL48" s="106"/>
      <c r="FM48" s="106"/>
      <c r="FN48" s="106"/>
      <c r="FO48" s="106"/>
      <c r="FP48" s="106"/>
      <c r="FQ48" s="106"/>
      <c r="FR48" s="106"/>
      <c r="FS48" s="106"/>
      <c r="FT48" s="106"/>
      <c r="FU48" s="106"/>
      <c r="FV48" s="106"/>
      <c r="FW48" s="106"/>
      <c r="FX48" s="106"/>
      <c r="FY48" s="106"/>
      <c r="FZ48" s="106"/>
      <c r="GA48" s="106"/>
      <c r="GB48" s="106"/>
      <c r="GC48" s="106"/>
      <c r="GD48" s="106"/>
      <c r="GE48" s="106"/>
      <c r="GF48" s="106"/>
      <c r="GG48" s="106"/>
      <c r="GH48" s="106"/>
      <c r="GI48" s="106"/>
      <c r="GJ48" s="106"/>
      <c r="GK48" s="106"/>
      <c r="GL48" s="106"/>
      <c r="GM48" s="106"/>
      <c r="GN48" s="106"/>
      <c r="GO48" s="106"/>
      <c r="GP48" s="106"/>
      <c r="GQ48" s="106"/>
      <c r="GR48" s="106"/>
      <c r="GS48" s="106"/>
      <c r="GT48" s="106"/>
      <c r="GU48" s="106"/>
      <c r="GV48" s="106"/>
      <c r="GW48" s="106"/>
      <c r="GX48" s="106"/>
      <c r="GY48" s="106"/>
      <c r="GZ48" s="106"/>
      <c r="HA48" s="106"/>
      <c r="HB48" s="106"/>
      <c r="HC48" s="106"/>
      <c r="HD48" s="106"/>
      <c r="HE48" s="106"/>
      <c r="HF48" s="106"/>
      <c r="HG48" s="106"/>
      <c r="HH48" s="106"/>
      <c r="HI48" s="106"/>
      <c r="HJ48" s="106"/>
      <c r="HK48" s="106"/>
      <c r="HL48" s="106"/>
      <c r="HM48" s="106"/>
      <c r="HN48" s="106"/>
      <c r="HO48" s="106"/>
      <c r="HP48" s="106"/>
      <c r="HQ48" s="106"/>
      <c r="HR48" s="106"/>
      <c r="HS48" s="106"/>
      <c r="HT48" s="106"/>
      <c r="HU48" s="106"/>
      <c r="HV48" s="106"/>
      <c r="HW48" s="106"/>
      <c r="HX48" s="106"/>
      <c r="HY48" s="106"/>
      <c r="HZ48" s="106"/>
      <c r="IA48" s="106"/>
      <c r="IB48" s="106"/>
      <c r="IC48" s="106"/>
      <c r="ID48" s="106"/>
      <c r="IE48" s="106"/>
      <c r="IF48" s="106"/>
      <c r="IG48" s="106"/>
      <c r="IH48" s="106"/>
      <c r="II48" s="106"/>
      <c r="IJ48" s="106"/>
      <c r="IK48" s="106"/>
      <c r="IL48" s="106"/>
      <c r="XDW48" s="108"/>
      <c r="XDX48" s="108"/>
      <c r="XDY48" s="108"/>
      <c r="XDZ48" s="108"/>
      <c r="XEA48" s="108"/>
      <c r="XEB48" s="108"/>
      <c r="XEC48" s="108"/>
      <c r="XED48" s="108"/>
      <c r="XEE48" s="108"/>
      <c r="XEF48" s="108"/>
      <c r="XEG48" s="108"/>
      <c r="XEH48" s="108"/>
      <c r="XEI48" s="108"/>
      <c r="XEJ48" s="108"/>
      <c r="XEK48" s="108"/>
      <c r="XEL48" s="108"/>
      <c r="XEM48" s="108"/>
      <c r="XEN48" s="108"/>
      <c r="XEO48" s="108"/>
      <c r="XEP48" s="108"/>
      <c r="XEQ48" s="108"/>
      <c r="XER48" s="108"/>
      <c r="XES48" s="108"/>
      <c r="XET48" s="108"/>
      <c r="XEU48" s="108"/>
      <c r="XEV48" s="108"/>
      <c r="XEW48" s="108"/>
      <c r="XEX48" s="108"/>
      <c r="XEY48" s="108"/>
      <c r="XEZ48" s="108"/>
      <c r="XFA48" s="108"/>
      <c r="XFB48" s="108"/>
      <c r="XFC48" s="108"/>
      <c r="XFD48" s="108"/>
    </row>
    <row r="49" s="3" customFormat="1" ht="25" hidden="1" customHeight="1" outlineLevel="1" spans="1:16384">
      <c r="A49" s="157" t="s">
        <v>7</v>
      </c>
      <c r="B49" s="141"/>
      <c r="C49" s="174"/>
      <c r="D49" s="169" t="s">
        <v>156</v>
      </c>
      <c r="E49" s="170"/>
      <c r="F49" s="171"/>
      <c r="G49" s="171"/>
      <c r="H49" s="51">
        <f t="shared" ref="H49:L49" si="67">SUM(H50:H56)-H53-H54</f>
        <v>1083000</v>
      </c>
      <c r="I49" s="170">
        <f t="shared" si="67"/>
        <v>592500</v>
      </c>
      <c r="J49" s="181">
        <v>0</v>
      </c>
      <c r="K49" s="170">
        <f t="shared" si="67"/>
        <v>607109</v>
      </c>
      <c r="L49" s="170">
        <f t="shared" si="67"/>
        <v>538777</v>
      </c>
      <c r="M49" s="170"/>
      <c r="N49" s="179">
        <f t="shared" si="66"/>
        <v>0.126827982634745</v>
      </c>
      <c r="O49" s="180">
        <f t="shared" si="58"/>
        <v>-14609</v>
      </c>
      <c r="P49" s="179">
        <f t="shared" si="63"/>
        <v>1.02465654008439</v>
      </c>
      <c r="Q49" s="188">
        <f t="shared" ref="Q49:Q58" si="68">K49/H49</f>
        <v>0.560580794090489</v>
      </c>
      <c r="R49" s="170">
        <f t="shared" ref="R49:U49" si="69">SUM(R50:R56)-R53-R54</f>
        <v>81701</v>
      </c>
      <c r="S49" s="170">
        <f t="shared" si="69"/>
        <v>84375</v>
      </c>
      <c r="T49" s="170">
        <f t="shared" si="69"/>
        <v>85770</v>
      </c>
      <c r="U49" s="170">
        <f t="shared" si="69"/>
        <v>689413</v>
      </c>
      <c r="V49" s="189"/>
      <c r="W49" s="189"/>
      <c r="X49" s="170">
        <f>SUM(X50:X56)-X53-X54</f>
        <v>858955</v>
      </c>
      <c r="Y49" s="170">
        <f>SUM(Y50:Y56)-Y53-Y54</f>
        <v>854000</v>
      </c>
      <c r="Z49" s="170">
        <f>SUM(Z50:Z56)-Z53-Z54</f>
        <v>835292</v>
      </c>
      <c r="AA49" s="170">
        <f>SUM(AA50:AA56)-AA53-AA54</f>
        <v>693450</v>
      </c>
      <c r="AB49" s="170">
        <f t="shared" si="51"/>
        <v>160550</v>
      </c>
      <c r="AC49" s="179">
        <f t="shared" si="52"/>
        <v>0.231523541711731</v>
      </c>
      <c r="AD49" s="179">
        <f t="shared" si="53"/>
        <v>0.788550323176362</v>
      </c>
      <c r="AE49" s="189">
        <f>AE56+AE55+AE51+AE50</f>
        <v>-20022</v>
      </c>
      <c r="AF49" s="170">
        <f t="shared" ref="AF49:AH49" si="70">SUM(AF50:AF56)-AF53-AF54</f>
        <v>60000</v>
      </c>
      <c r="AG49" s="170">
        <f t="shared" si="70"/>
        <v>30168</v>
      </c>
      <c r="AH49" s="170">
        <f t="shared" si="70"/>
        <v>19936</v>
      </c>
      <c r="AI49" s="170" t="s">
        <v>25</v>
      </c>
      <c r="AJ49" s="170">
        <f t="shared" ref="AJ49:AP49" si="71">SUM(AJ50:AJ56)-AJ53-AJ54</f>
        <v>31359</v>
      </c>
      <c r="AK49" s="179">
        <f t="shared" si="64"/>
        <v>0.572983547351525</v>
      </c>
      <c r="AL49" s="179">
        <f>AJ49/AG49</f>
        <v>1.03947891805887</v>
      </c>
      <c r="AM49" s="170">
        <f t="shared" si="71"/>
        <v>4010</v>
      </c>
      <c r="AN49" s="170">
        <f t="shared" si="71"/>
        <v>4364</v>
      </c>
      <c r="AO49" s="170">
        <f t="shared" si="71"/>
        <v>4661</v>
      </c>
      <c r="AP49" s="170">
        <f t="shared" si="71"/>
        <v>35369</v>
      </c>
      <c r="AQ49" s="189"/>
      <c r="AR49" s="189"/>
      <c r="AS49" s="170">
        <f>SUM(AS50:AS56)-AS53-AS54</f>
        <v>44394</v>
      </c>
      <c r="AT49" s="170">
        <f>SUM(AT50:AT56)-AT53-AT54</f>
        <v>45200</v>
      </c>
      <c r="AU49" s="170">
        <f>SUM(AU50:AU56)-AU53-AU54</f>
        <v>42445</v>
      </c>
      <c r="AV49" s="170">
        <f>SUM(AV50:AV56)-AV53-AV54</f>
        <v>32692</v>
      </c>
      <c r="AW49" s="212">
        <f t="shared" si="40"/>
        <v>12508</v>
      </c>
      <c r="AX49" s="179">
        <f>AS49/AV49-1</f>
        <v>0.357946898323749</v>
      </c>
      <c r="AY49" s="179">
        <f>AJ49/AF49</f>
        <v>0.52265</v>
      </c>
      <c r="AZ49" s="216"/>
      <c r="BA49" s="217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XDW49" s="107"/>
      <c r="XDX49" s="107"/>
      <c r="XDY49" s="107"/>
      <c r="XDZ49" s="107"/>
      <c r="XEA49" s="107"/>
      <c r="XEB49" s="107"/>
      <c r="XEC49" s="107"/>
      <c r="XED49" s="107"/>
      <c r="XEE49" s="107"/>
      <c r="XEF49" s="107"/>
      <c r="XEG49" s="107"/>
      <c r="XEH49" s="107"/>
      <c r="XEI49" s="107"/>
      <c r="XEJ49" s="107"/>
      <c r="XEK49" s="107"/>
      <c r="XEL49" s="107"/>
      <c r="XEM49" s="107"/>
      <c r="XEN49" s="107"/>
      <c r="XEO49" s="107"/>
      <c r="XEP49" s="107"/>
      <c r="XEQ49" s="107"/>
      <c r="XER49" s="107"/>
      <c r="XES49" s="107"/>
      <c r="XET49" s="107"/>
      <c r="XEU49" s="107"/>
      <c r="XEV49" s="107"/>
      <c r="XEW49" s="107"/>
      <c r="XEX49" s="107"/>
      <c r="XEY49" s="107"/>
      <c r="XEZ49" s="107"/>
      <c r="XFA49" s="107"/>
      <c r="XFB49" s="107"/>
      <c r="XFC49" s="107"/>
      <c r="XFD49" s="107"/>
    </row>
    <row r="50" s="1" customFormat="1" ht="25" customHeight="1" collapsed="1" spans="1:16384">
      <c r="A50" s="157"/>
      <c r="B50" s="141"/>
      <c r="C50" s="175">
        <v>14</v>
      </c>
      <c r="D50" s="56" t="s">
        <v>62</v>
      </c>
      <c r="E50" s="47" t="s">
        <v>188</v>
      </c>
      <c r="F50" s="51" t="s">
        <v>159</v>
      </c>
      <c r="G50" s="51" t="s">
        <v>154</v>
      </c>
      <c r="H50" s="51">
        <v>350000</v>
      </c>
      <c r="I50" s="52">
        <v>180000</v>
      </c>
      <c r="J50" s="79">
        <v>0</v>
      </c>
      <c r="K50" s="76">
        <v>175092</v>
      </c>
      <c r="L50" s="61">
        <v>167531</v>
      </c>
      <c r="M50" s="61">
        <f t="shared" ref="M50:M56" si="72">K50-L50</f>
        <v>7561</v>
      </c>
      <c r="N50" s="74">
        <f t="shared" si="66"/>
        <v>0.045131945729447</v>
      </c>
      <c r="O50" s="76">
        <f t="shared" ref="O50:O52" si="73">I50-K50</f>
        <v>4908</v>
      </c>
      <c r="P50" s="74">
        <f t="shared" si="63"/>
        <v>0.972733333333333</v>
      </c>
      <c r="Q50" s="74">
        <f t="shared" si="68"/>
        <v>0.500262857142857</v>
      </c>
      <c r="R50" s="61">
        <v>30000</v>
      </c>
      <c r="S50" s="61">
        <v>31000</v>
      </c>
      <c r="T50" s="61">
        <v>31000</v>
      </c>
      <c r="U50" s="61">
        <f t="shared" ref="U50:U56" si="74">K50+R50</f>
        <v>205092</v>
      </c>
      <c r="V50" s="61"/>
      <c r="W50" s="61"/>
      <c r="X50" s="61">
        <f>K50+R50+S50+T50</f>
        <v>267092</v>
      </c>
      <c r="Y50" s="61">
        <v>270000</v>
      </c>
      <c r="Z50" s="189">
        <v>260000</v>
      </c>
      <c r="AA50" s="61">
        <v>240163</v>
      </c>
      <c r="AB50" s="61">
        <f t="shared" si="51"/>
        <v>29837</v>
      </c>
      <c r="AC50" s="122">
        <f t="shared" ref="AC50:AC62" si="75">Y50/AA50-1</f>
        <v>0.124236456073583</v>
      </c>
      <c r="AD50" s="74">
        <f t="shared" ref="AD50:AD62" si="76">Y50/H50</f>
        <v>0.771428571428571</v>
      </c>
      <c r="AE50" s="61">
        <f>K50-I50</f>
        <v>-4908</v>
      </c>
      <c r="AF50" s="52">
        <v>43000</v>
      </c>
      <c r="AG50" s="52">
        <v>24500</v>
      </c>
      <c r="AH50" s="76">
        <v>18590</v>
      </c>
      <c r="AI50" s="52">
        <v>24500</v>
      </c>
      <c r="AJ50" s="76">
        <v>27006</v>
      </c>
      <c r="AK50" s="74">
        <f t="shared" si="64"/>
        <v>0.452716514254976</v>
      </c>
      <c r="AL50" s="74">
        <f>AJ50/AG50</f>
        <v>1.10228571428571</v>
      </c>
      <c r="AM50" s="61">
        <v>3300</v>
      </c>
      <c r="AN50" s="61">
        <v>3410</v>
      </c>
      <c r="AO50" s="61">
        <v>3410</v>
      </c>
      <c r="AP50" s="61">
        <f t="shared" ref="AP50:AP56" si="77">AJ50+AM50</f>
        <v>30306</v>
      </c>
      <c r="AQ50" s="61"/>
      <c r="AR50" s="61"/>
      <c r="AS50" s="61">
        <f>AJ50+AM50+AN50+AO50</f>
        <v>37126</v>
      </c>
      <c r="AT50" s="61">
        <v>37000</v>
      </c>
      <c r="AU50" s="189">
        <v>35000</v>
      </c>
      <c r="AV50" s="61">
        <v>30432</v>
      </c>
      <c r="AW50" s="206">
        <f t="shared" si="40"/>
        <v>6568</v>
      </c>
      <c r="AX50" s="74">
        <f t="shared" si="65"/>
        <v>0.215825446898002</v>
      </c>
      <c r="AY50" s="74">
        <f>AT50/AF50</f>
        <v>0.86046511627907</v>
      </c>
      <c r="AZ50" s="207"/>
      <c r="BA50" s="208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XDW50" s="13"/>
      <c r="XDX50" s="13"/>
      <c r="XDY50" s="13"/>
      <c r="XDZ50" s="13"/>
      <c r="XEA50" s="13"/>
      <c r="XEB50" s="13"/>
      <c r="XEC50" s="13"/>
      <c r="XED50" s="13"/>
      <c r="XEE50" s="13"/>
      <c r="XEF50" s="13"/>
      <c r="XEG50" s="13"/>
      <c r="XEH50" s="13"/>
      <c r="XEI50" s="13"/>
      <c r="XEJ50" s="13"/>
      <c r="XEK50" s="13"/>
      <c r="XEL50" s="13"/>
      <c r="XEM50" s="13"/>
      <c r="XEN50" s="13"/>
      <c r="XEO50" s="13"/>
      <c r="XEP50" s="13"/>
      <c r="XEQ50" s="13"/>
      <c r="XER50" s="13"/>
      <c r="XES50" s="13"/>
      <c r="XET50" s="13"/>
      <c r="XEU50" s="13"/>
      <c r="XEV50" s="13"/>
      <c r="XEW50" s="13"/>
      <c r="XEX50" s="13"/>
      <c r="XEY50" s="13"/>
      <c r="XEZ50" s="13"/>
      <c r="XFA50" s="13"/>
      <c r="XFB50" s="13"/>
      <c r="XFC50" s="13"/>
      <c r="XFD50" s="13"/>
    </row>
    <row r="51" s="1" customFormat="1" ht="25" customHeight="1" spans="1:16384">
      <c r="A51" s="157"/>
      <c r="B51" s="141"/>
      <c r="C51" s="175">
        <v>15</v>
      </c>
      <c r="D51" s="45" t="s">
        <v>65</v>
      </c>
      <c r="E51" s="47" t="s">
        <v>188</v>
      </c>
      <c r="F51" s="51" t="s">
        <v>159</v>
      </c>
      <c r="G51" s="51" t="s">
        <v>154</v>
      </c>
      <c r="H51" s="51">
        <v>23000</v>
      </c>
      <c r="I51" s="52">
        <v>9500</v>
      </c>
      <c r="J51" s="79">
        <v>0</v>
      </c>
      <c r="K51" s="76">
        <v>9125</v>
      </c>
      <c r="L51" s="61">
        <v>9108</v>
      </c>
      <c r="M51" s="61">
        <f t="shared" si="72"/>
        <v>17</v>
      </c>
      <c r="N51" s="74">
        <f t="shared" si="66"/>
        <v>0.00186649099692571</v>
      </c>
      <c r="O51" s="76">
        <f t="shared" si="73"/>
        <v>375</v>
      </c>
      <c r="P51" s="74">
        <f t="shared" si="63"/>
        <v>0.960526315789474</v>
      </c>
      <c r="Q51" s="74">
        <f t="shared" si="68"/>
        <v>0.396739130434783</v>
      </c>
      <c r="R51" s="61">
        <v>1204</v>
      </c>
      <c r="S51" s="61">
        <v>1354</v>
      </c>
      <c r="T51" s="61">
        <v>1154</v>
      </c>
      <c r="U51" s="61">
        <f t="shared" si="74"/>
        <v>10329</v>
      </c>
      <c r="V51" s="61"/>
      <c r="W51" s="61"/>
      <c r="X51" s="61">
        <f t="shared" ref="X51:X56" si="78">K51+R51+S51+T51</f>
        <v>12837</v>
      </c>
      <c r="Y51" s="61">
        <v>14000</v>
      </c>
      <c r="Z51" s="189">
        <v>13500</v>
      </c>
      <c r="AA51" s="61">
        <v>12901</v>
      </c>
      <c r="AB51" s="61">
        <f t="shared" si="51"/>
        <v>1099</v>
      </c>
      <c r="AC51" s="122">
        <f t="shared" si="75"/>
        <v>0.0851871947911014</v>
      </c>
      <c r="AD51" s="74">
        <f t="shared" si="76"/>
        <v>0.608695652173913</v>
      </c>
      <c r="AE51" s="61">
        <f>K51-I51</f>
        <v>-375</v>
      </c>
      <c r="AF51" s="52">
        <v>5500</v>
      </c>
      <c r="AG51" s="52">
        <v>1800</v>
      </c>
      <c r="AH51" s="76">
        <v>2350</v>
      </c>
      <c r="AI51" s="98">
        <v>0</v>
      </c>
      <c r="AJ51" s="76">
        <v>1627</v>
      </c>
      <c r="AK51" s="74">
        <f t="shared" si="64"/>
        <v>-0.307659574468085</v>
      </c>
      <c r="AL51" s="74">
        <f>AJ51/AG51</f>
        <v>0.903888888888889</v>
      </c>
      <c r="AM51" s="61">
        <v>240</v>
      </c>
      <c r="AN51" s="61">
        <v>240</v>
      </c>
      <c r="AO51" s="61">
        <v>230</v>
      </c>
      <c r="AP51" s="61">
        <f t="shared" si="77"/>
        <v>1867</v>
      </c>
      <c r="AQ51" s="61"/>
      <c r="AR51" s="61"/>
      <c r="AS51" s="61">
        <f t="shared" ref="AS51:AS56" si="79">AJ51+AM51+AN51+AO51</f>
        <v>2337</v>
      </c>
      <c r="AT51" s="61">
        <v>2600</v>
      </c>
      <c r="AU51" s="189">
        <v>2200</v>
      </c>
      <c r="AV51" s="61">
        <v>3272</v>
      </c>
      <c r="AW51" s="206">
        <f t="shared" si="40"/>
        <v>-672</v>
      </c>
      <c r="AX51" s="74">
        <f t="shared" si="65"/>
        <v>-0.205378973105134</v>
      </c>
      <c r="AY51" s="74">
        <f>AT51/AF51</f>
        <v>0.472727272727273</v>
      </c>
      <c r="AZ51" s="207"/>
      <c r="BA51" s="208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XDW51" s="13"/>
      <c r="XDX51" s="13"/>
      <c r="XDY51" s="13"/>
      <c r="XDZ51" s="13"/>
      <c r="XEA51" s="13"/>
      <c r="XEB51" s="13"/>
      <c r="XEC51" s="13"/>
      <c r="XED51" s="13"/>
      <c r="XEE51" s="13"/>
      <c r="XEF51" s="13"/>
      <c r="XEG51" s="13"/>
      <c r="XEH51" s="13"/>
      <c r="XEI51" s="13"/>
      <c r="XEJ51" s="13"/>
      <c r="XEK51" s="13"/>
      <c r="XEL51" s="13"/>
      <c r="XEM51" s="13"/>
      <c r="XEN51" s="13"/>
      <c r="XEO51" s="13"/>
      <c r="XEP51" s="13"/>
      <c r="XEQ51" s="13"/>
      <c r="XER51" s="13"/>
      <c r="XES51" s="13"/>
      <c r="XET51" s="13"/>
      <c r="XEU51" s="13"/>
      <c r="XEV51" s="13"/>
      <c r="XEW51" s="13"/>
      <c r="XEX51" s="13"/>
      <c r="XEY51" s="13"/>
      <c r="XEZ51" s="13"/>
      <c r="XFA51" s="13"/>
      <c r="XFB51" s="13"/>
      <c r="XFC51" s="13"/>
      <c r="XFD51" s="13"/>
    </row>
    <row r="52" s="1" customFormat="1" ht="25" customHeight="1" spans="1:16384">
      <c r="A52" s="157"/>
      <c r="B52" s="141"/>
      <c r="C52" s="175">
        <v>16</v>
      </c>
      <c r="D52" s="45" t="s">
        <v>63</v>
      </c>
      <c r="E52" s="47" t="s">
        <v>188</v>
      </c>
      <c r="F52" s="51" t="s">
        <v>159</v>
      </c>
      <c r="G52" s="51" t="s">
        <v>154</v>
      </c>
      <c r="H52" s="51">
        <v>560000</v>
      </c>
      <c r="I52" s="52">
        <v>336000</v>
      </c>
      <c r="J52" s="79">
        <v>0</v>
      </c>
      <c r="K52" s="76">
        <f>336882+K11+14800</f>
        <v>370631</v>
      </c>
      <c r="L52" s="61">
        <v>300206</v>
      </c>
      <c r="M52" s="61">
        <f t="shared" si="72"/>
        <v>70425</v>
      </c>
      <c r="N52" s="74">
        <f t="shared" si="66"/>
        <v>0.23458891561128</v>
      </c>
      <c r="O52" s="76"/>
      <c r="P52" s="74">
        <f t="shared" si="63"/>
        <v>1.10306845238095</v>
      </c>
      <c r="Q52" s="74">
        <f t="shared" si="68"/>
        <v>0.661841071428571</v>
      </c>
      <c r="R52" s="61">
        <v>40950</v>
      </c>
      <c r="S52" s="61">
        <v>41806</v>
      </c>
      <c r="T52" s="61">
        <v>43030</v>
      </c>
      <c r="U52" s="61">
        <f t="shared" si="74"/>
        <v>411581</v>
      </c>
      <c r="V52" s="61"/>
      <c r="W52" s="61"/>
      <c r="X52" s="61">
        <f t="shared" si="78"/>
        <v>496417</v>
      </c>
      <c r="Y52" s="61">
        <f>Y53+Y54</f>
        <v>480000</v>
      </c>
      <c r="Z52" s="194">
        <f>Z53+Z54</f>
        <v>480000</v>
      </c>
      <c r="AA52" s="61">
        <v>359129</v>
      </c>
      <c r="AB52" s="61">
        <f t="shared" si="51"/>
        <v>120871</v>
      </c>
      <c r="AC52" s="122">
        <f t="shared" si="75"/>
        <v>0.336567083137257</v>
      </c>
      <c r="AD52" s="74">
        <f t="shared" si="76"/>
        <v>0.857142857142857</v>
      </c>
      <c r="AE52" s="61"/>
      <c r="AF52" s="52">
        <v>10000</v>
      </c>
      <c r="AG52" s="52">
        <v>5168</v>
      </c>
      <c r="AH52" s="76">
        <v>630</v>
      </c>
      <c r="AI52" s="98">
        <v>0</v>
      </c>
      <c r="AJ52" s="76">
        <v>5176</v>
      </c>
      <c r="AK52" s="74">
        <f t="shared" si="64"/>
        <v>7.21587301587302</v>
      </c>
      <c r="AL52" s="74">
        <f>AJ52/AG52</f>
        <v>1.0015479876161</v>
      </c>
      <c r="AM52" s="61">
        <v>941</v>
      </c>
      <c r="AN52" s="61">
        <v>986</v>
      </c>
      <c r="AO52" s="61">
        <v>1047</v>
      </c>
      <c r="AP52" s="61">
        <f t="shared" si="77"/>
        <v>6117</v>
      </c>
      <c r="AQ52" s="61"/>
      <c r="AR52" s="61"/>
      <c r="AS52" s="61">
        <f t="shared" si="79"/>
        <v>8150</v>
      </c>
      <c r="AT52" s="61">
        <v>8200</v>
      </c>
      <c r="AU52" s="194">
        <v>8200</v>
      </c>
      <c r="AV52" s="61">
        <v>1483</v>
      </c>
      <c r="AW52" s="206">
        <f t="shared" si="40"/>
        <v>6717</v>
      </c>
      <c r="AX52" s="74">
        <f t="shared" si="65"/>
        <v>4.52933243425489</v>
      </c>
      <c r="AY52" s="74">
        <f>AT52/AF52</f>
        <v>0.82</v>
      </c>
      <c r="AZ52" s="207"/>
      <c r="BA52" s="208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  <c r="XEP52" s="13"/>
      <c r="XEQ52" s="13"/>
      <c r="XER52" s="13"/>
      <c r="XES52" s="13"/>
      <c r="XET52" s="13"/>
      <c r="XEU52" s="13"/>
      <c r="XEV52" s="13"/>
      <c r="XEW52" s="13"/>
      <c r="XEX52" s="13"/>
      <c r="XEY52" s="13"/>
      <c r="XEZ52" s="13"/>
      <c r="XFA52" s="13"/>
      <c r="XFB52" s="13"/>
      <c r="XFC52" s="13"/>
      <c r="XFD52" s="13"/>
    </row>
    <row r="53" s="1" customFormat="1" ht="25" hidden="1" customHeight="1" outlineLevel="1" spans="1:16384">
      <c r="A53" s="157"/>
      <c r="B53" s="141"/>
      <c r="C53" s="165"/>
      <c r="D53" s="45" t="s">
        <v>161</v>
      </c>
      <c r="E53" s="52"/>
      <c r="F53" s="51"/>
      <c r="G53" s="51"/>
      <c r="H53" s="51">
        <f>H52-H54</f>
        <v>340000</v>
      </c>
      <c r="I53" s="61">
        <f>I52-I54</f>
        <v>116000</v>
      </c>
      <c r="J53" s="79">
        <v>0</v>
      </c>
      <c r="K53" s="61">
        <f>K52-K54</f>
        <v>127288</v>
      </c>
      <c r="L53" s="61">
        <f>L52-L54</f>
        <v>69609</v>
      </c>
      <c r="M53" s="61">
        <f t="shared" si="72"/>
        <v>57679</v>
      </c>
      <c r="N53" s="74">
        <f t="shared" si="66"/>
        <v>0.828614115990748</v>
      </c>
      <c r="O53" s="74"/>
      <c r="P53" s="74">
        <f t="shared" si="63"/>
        <v>1.09731034482759</v>
      </c>
      <c r="Q53" s="74">
        <f t="shared" si="68"/>
        <v>0.374376470588235</v>
      </c>
      <c r="R53" s="61">
        <f>R52-R54</f>
        <v>30950</v>
      </c>
      <c r="S53" s="61">
        <f>S52-S54</f>
        <v>31806</v>
      </c>
      <c r="T53" s="61">
        <f>T52-T54</f>
        <v>33030</v>
      </c>
      <c r="U53" s="61">
        <f t="shared" si="74"/>
        <v>158238</v>
      </c>
      <c r="V53" s="61"/>
      <c r="W53" s="61"/>
      <c r="X53" s="61">
        <f t="shared" si="78"/>
        <v>223074</v>
      </c>
      <c r="Y53" s="61">
        <v>220000</v>
      </c>
      <c r="Z53" s="189">
        <v>220000</v>
      </c>
      <c r="AA53" s="61">
        <f>AA52-AA54</f>
        <v>105862</v>
      </c>
      <c r="AB53" s="61">
        <f t="shared" si="51"/>
        <v>114138</v>
      </c>
      <c r="AC53" s="122">
        <f t="shared" si="75"/>
        <v>1.07817724962687</v>
      </c>
      <c r="AD53" s="74">
        <f t="shared" si="76"/>
        <v>0.647058823529412</v>
      </c>
      <c r="AE53" s="61"/>
      <c r="AF53" s="98">
        <v>0</v>
      </c>
      <c r="AG53" s="98">
        <v>0</v>
      </c>
      <c r="AH53" s="98">
        <v>0</v>
      </c>
      <c r="AI53" s="98">
        <v>0</v>
      </c>
      <c r="AJ53" s="98">
        <v>0</v>
      </c>
      <c r="AK53" s="98">
        <v>0</v>
      </c>
      <c r="AL53" s="98">
        <v>0</v>
      </c>
      <c r="AM53" s="98">
        <v>0</v>
      </c>
      <c r="AN53" s="98">
        <v>0</v>
      </c>
      <c r="AO53" s="98">
        <v>0</v>
      </c>
      <c r="AP53" s="98">
        <v>0</v>
      </c>
      <c r="AQ53" s="98">
        <v>0</v>
      </c>
      <c r="AR53" s="98">
        <v>0</v>
      </c>
      <c r="AS53" s="98">
        <v>0</v>
      </c>
      <c r="AT53" s="61">
        <f>AT52-AT54</f>
        <v>8460</v>
      </c>
      <c r="AU53" s="189"/>
      <c r="AV53" s="61">
        <f>AV52-AV54</f>
        <v>1863</v>
      </c>
      <c r="AW53" s="206">
        <f t="shared" si="40"/>
        <v>6597</v>
      </c>
      <c r="AX53" s="74">
        <f t="shared" si="65"/>
        <v>3.54106280193237</v>
      </c>
      <c r="AY53" s="74" t="s">
        <v>25</v>
      </c>
      <c r="AZ53" s="207"/>
      <c r="BA53" s="208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  <c r="XEP53" s="13"/>
      <c r="XEQ53" s="13"/>
      <c r="XER53" s="13"/>
      <c r="XES53" s="13"/>
      <c r="XET53" s="13"/>
      <c r="XEU53" s="13"/>
      <c r="XEV53" s="13"/>
      <c r="XEW53" s="13"/>
      <c r="XEX53" s="13"/>
      <c r="XEY53" s="13"/>
      <c r="XEZ53" s="13"/>
      <c r="XFA53" s="13"/>
      <c r="XFB53" s="13"/>
      <c r="XFC53" s="13"/>
      <c r="XFD53" s="13"/>
    </row>
    <row r="54" s="1" customFormat="1" ht="25" hidden="1" customHeight="1" outlineLevel="1" spans="1:16384">
      <c r="A54" s="157"/>
      <c r="B54" s="141"/>
      <c r="C54" s="165"/>
      <c r="D54" s="45" t="s">
        <v>162</v>
      </c>
      <c r="E54" s="51" t="s">
        <v>163</v>
      </c>
      <c r="F54" s="51"/>
      <c r="G54" s="51"/>
      <c r="H54" s="51">
        <v>220000</v>
      </c>
      <c r="I54" s="52">
        <v>220000</v>
      </c>
      <c r="J54" s="79">
        <v>0</v>
      </c>
      <c r="K54" s="76">
        <f>228543+14800</f>
        <v>243343</v>
      </c>
      <c r="L54" s="61">
        <v>230597</v>
      </c>
      <c r="M54" s="61">
        <f t="shared" si="72"/>
        <v>12746</v>
      </c>
      <c r="N54" s="74">
        <f t="shared" si="66"/>
        <v>0.0552739194352052</v>
      </c>
      <c r="O54" s="74"/>
      <c r="P54" s="74">
        <f t="shared" si="63"/>
        <v>1.10610454545455</v>
      </c>
      <c r="Q54" s="74">
        <f t="shared" si="68"/>
        <v>1.10610454545455</v>
      </c>
      <c r="R54" s="61">
        <v>10000</v>
      </c>
      <c r="S54" s="61">
        <v>10000</v>
      </c>
      <c r="T54" s="61">
        <v>10000</v>
      </c>
      <c r="U54" s="61">
        <f t="shared" si="74"/>
        <v>253343</v>
      </c>
      <c r="V54" s="61"/>
      <c r="W54" s="61"/>
      <c r="X54" s="61">
        <f t="shared" si="78"/>
        <v>273343</v>
      </c>
      <c r="Y54" s="61">
        <v>260000</v>
      </c>
      <c r="Z54" s="189">
        <v>260000</v>
      </c>
      <c r="AA54" s="61">
        <v>253267</v>
      </c>
      <c r="AB54" s="61">
        <f t="shared" si="51"/>
        <v>6733</v>
      </c>
      <c r="AC54" s="122">
        <f t="shared" si="75"/>
        <v>0.0265845925446269</v>
      </c>
      <c r="AD54" s="74">
        <f t="shared" si="76"/>
        <v>1.18181818181818</v>
      </c>
      <c r="AE54" s="61"/>
      <c r="AF54" s="98">
        <v>0</v>
      </c>
      <c r="AG54" s="98">
        <v>0</v>
      </c>
      <c r="AH54" s="98">
        <v>0</v>
      </c>
      <c r="AI54" s="98">
        <v>0</v>
      </c>
      <c r="AJ54" s="98">
        <v>0</v>
      </c>
      <c r="AK54" s="98">
        <v>0</v>
      </c>
      <c r="AL54" s="98">
        <v>0</v>
      </c>
      <c r="AM54" s="98">
        <v>0</v>
      </c>
      <c r="AN54" s="98">
        <v>0</v>
      </c>
      <c r="AO54" s="98">
        <v>0</v>
      </c>
      <c r="AP54" s="98">
        <v>0</v>
      </c>
      <c r="AQ54" s="98">
        <v>0</v>
      </c>
      <c r="AR54" s="98">
        <v>0</v>
      </c>
      <c r="AS54" s="98">
        <v>0</v>
      </c>
      <c r="AT54" s="76">
        <f>Y54/1000*-1</f>
        <v>-260</v>
      </c>
      <c r="AU54" s="182"/>
      <c r="AV54" s="76">
        <v>-380</v>
      </c>
      <c r="AW54" s="206">
        <f t="shared" si="40"/>
        <v>120</v>
      </c>
      <c r="AX54" s="74">
        <f t="shared" si="65"/>
        <v>0.315789473684211</v>
      </c>
      <c r="AY54" s="74" t="s">
        <v>25</v>
      </c>
      <c r="AZ54" s="207"/>
      <c r="BA54" s="208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XDW54" s="13"/>
      <c r="XDX54" s="13"/>
      <c r="XDY54" s="13"/>
      <c r="XDZ54" s="13"/>
      <c r="XEA54" s="13"/>
      <c r="XEB54" s="13"/>
      <c r="XEC54" s="13"/>
      <c r="XED54" s="13"/>
      <c r="XEE54" s="13"/>
      <c r="XEF54" s="13"/>
      <c r="XEG54" s="13"/>
      <c r="XEH54" s="13"/>
      <c r="XEI54" s="13"/>
      <c r="XEJ54" s="13"/>
      <c r="XEK54" s="13"/>
      <c r="XEL54" s="13"/>
      <c r="XEM54" s="13"/>
      <c r="XEN54" s="13"/>
      <c r="XEO54" s="13"/>
      <c r="XEP54" s="13"/>
      <c r="XEQ54" s="13"/>
      <c r="XER54" s="13"/>
      <c r="XES54" s="13"/>
      <c r="XET54" s="13"/>
      <c r="XEU54" s="13"/>
      <c r="XEV54" s="13"/>
      <c r="XEW54" s="13"/>
      <c r="XEX54" s="13"/>
      <c r="XEY54" s="13"/>
      <c r="XEZ54" s="13"/>
      <c r="XFA54" s="13"/>
      <c r="XFB54" s="13"/>
      <c r="XFC54" s="13"/>
      <c r="XFD54" s="13"/>
    </row>
    <row r="55" s="1" customFormat="1" ht="25" customHeight="1" collapsed="1" spans="1:16384">
      <c r="A55" s="157"/>
      <c r="B55" s="141"/>
      <c r="C55" s="175">
        <v>17</v>
      </c>
      <c r="D55" s="45" t="s">
        <v>66</v>
      </c>
      <c r="E55" s="47" t="s">
        <v>188</v>
      </c>
      <c r="F55" s="51" t="s">
        <v>159</v>
      </c>
      <c r="G55" s="51" t="s">
        <v>154</v>
      </c>
      <c r="H55" s="51">
        <v>50000</v>
      </c>
      <c r="I55" s="52">
        <v>18000</v>
      </c>
      <c r="J55" s="79">
        <v>0</v>
      </c>
      <c r="K55" s="76">
        <v>15204</v>
      </c>
      <c r="L55" s="61">
        <v>13834</v>
      </c>
      <c r="M55" s="61">
        <f t="shared" si="72"/>
        <v>1370</v>
      </c>
      <c r="N55" s="74">
        <f t="shared" si="66"/>
        <v>0.0990313719820732</v>
      </c>
      <c r="O55" s="76">
        <f t="shared" ref="O55:O58" si="80">I55-K55</f>
        <v>2796</v>
      </c>
      <c r="P55" s="74">
        <f t="shared" si="63"/>
        <v>0.844666666666667</v>
      </c>
      <c r="Q55" s="74">
        <f t="shared" si="68"/>
        <v>0.30408</v>
      </c>
      <c r="R55" s="61">
        <v>3496</v>
      </c>
      <c r="S55" s="61">
        <v>3561</v>
      </c>
      <c r="T55" s="61">
        <v>3500</v>
      </c>
      <c r="U55" s="61">
        <f t="shared" si="74"/>
        <v>18700</v>
      </c>
      <c r="V55" s="61"/>
      <c r="W55" s="61"/>
      <c r="X55" s="61">
        <f t="shared" si="78"/>
        <v>25761</v>
      </c>
      <c r="Y55" s="61">
        <v>30000</v>
      </c>
      <c r="Z55" s="189">
        <v>25000</v>
      </c>
      <c r="AA55" s="61">
        <v>23300</v>
      </c>
      <c r="AB55" s="61">
        <f t="shared" si="51"/>
        <v>6700</v>
      </c>
      <c r="AC55" s="122">
        <f t="shared" si="75"/>
        <v>0.28755364806867</v>
      </c>
      <c r="AD55" s="74">
        <f t="shared" si="76"/>
        <v>0.6</v>
      </c>
      <c r="AE55" s="61">
        <f>K55-I55</f>
        <v>-2796</v>
      </c>
      <c r="AF55" s="52">
        <v>500</v>
      </c>
      <c r="AG55" s="52">
        <v>-600</v>
      </c>
      <c r="AH55" s="76">
        <v>-2058</v>
      </c>
      <c r="AI55" s="98">
        <v>0</v>
      </c>
      <c r="AJ55" s="76">
        <v>-850</v>
      </c>
      <c r="AK55" s="74">
        <f t="shared" ref="AK55:AK61" si="81">(AJ55-AH55)/ABS(AH55)</f>
        <v>0.586977648202138</v>
      </c>
      <c r="AL55" s="74" t="s">
        <v>25</v>
      </c>
      <c r="AM55" s="61">
        <v>-150</v>
      </c>
      <c r="AN55" s="61">
        <v>-135</v>
      </c>
      <c r="AO55" s="61">
        <v>-130</v>
      </c>
      <c r="AP55" s="61">
        <f t="shared" si="77"/>
        <v>-1000</v>
      </c>
      <c r="AQ55" s="61"/>
      <c r="AR55" s="61"/>
      <c r="AS55" s="61">
        <f t="shared" si="79"/>
        <v>-1265</v>
      </c>
      <c r="AT55" s="61">
        <v>-1000</v>
      </c>
      <c r="AU55" s="194">
        <v>-1000</v>
      </c>
      <c r="AV55" s="61">
        <v>-2592</v>
      </c>
      <c r="AW55" s="206">
        <f t="shared" si="40"/>
        <v>1592</v>
      </c>
      <c r="AX55" s="74">
        <f t="shared" si="65"/>
        <v>0.614197530864197</v>
      </c>
      <c r="AY55" s="74" t="s">
        <v>25</v>
      </c>
      <c r="AZ55" s="207"/>
      <c r="BA55" s="208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XDW55" s="13"/>
      <c r="XDX55" s="13"/>
      <c r="XDY55" s="13"/>
      <c r="XDZ55" s="13"/>
      <c r="XEA55" s="13"/>
      <c r="XEB55" s="13"/>
      <c r="XEC55" s="13"/>
      <c r="XED55" s="13"/>
      <c r="XEE55" s="13"/>
      <c r="XEF55" s="13"/>
      <c r="XEG55" s="13"/>
      <c r="XEH55" s="13"/>
      <c r="XEI55" s="13"/>
      <c r="XEJ55" s="13"/>
      <c r="XEK55" s="13"/>
      <c r="XEL55" s="13"/>
      <c r="XEM55" s="13"/>
      <c r="XEN55" s="13"/>
      <c r="XEO55" s="13"/>
      <c r="XEP55" s="13"/>
      <c r="XEQ55" s="13"/>
      <c r="XER55" s="13"/>
      <c r="XES55" s="13"/>
      <c r="XET55" s="13"/>
      <c r="XEU55" s="13"/>
      <c r="XEV55" s="13"/>
      <c r="XEW55" s="13"/>
      <c r="XEX55" s="13"/>
      <c r="XEY55" s="13"/>
      <c r="XEZ55" s="13"/>
      <c r="XFA55" s="13"/>
      <c r="XFB55" s="13"/>
      <c r="XFC55" s="13"/>
      <c r="XFD55" s="13"/>
    </row>
    <row r="56" s="1" customFormat="1" ht="25" customHeight="1" spans="1:16384">
      <c r="A56" s="157"/>
      <c r="B56" s="141"/>
      <c r="C56" s="175">
        <v>18</v>
      </c>
      <c r="D56" s="56" t="s">
        <v>64</v>
      </c>
      <c r="E56" s="47" t="s">
        <v>188</v>
      </c>
      <c r="F56" s="51" t="s">
        <v>159</v>
      </c>
      <c r="G56" s="51" t="s">
        <v>154</v>
      </c>
      <c r="H56" s="51">
        <v>100000</v>
      </c>
      <c r="I56" s="52">
        <v>49000</v>
      </c>
      <c r="J56" s="79">
        <v>0</v>
      </c>
      <c r="K56" s="76">
        <v>37057</v>
      </c>
      <c r="L56" s="61">
        <v>48098</v>
      </c>
      <c r="M56" s="61">
        <f t="shared" si="72"/>
        <v>-11041</v>
      </c>
      <c r="N56" s="74">
        <f t="shared" si="66"/>
        <v>-0.229552164331157</v>
      </c>
      <c r="O56" s="76">
        <f t="shared" si="80"/>
        <v>11943</v>
      </c>
      <c r="P56" s="74">
        <f t="shared" si="63"/>
        <v>0.756265306122449</v>
      </c>
      <c r="Q56" s="74">
        <f t="shared" si="68"/>
        <v>0.37057</v>
      </c>
      <c r="R56" s="61">
        <v>6051</v>
      </c>
      <c r="S56" s="61">
        <v>6654</v>
      </c>
      <c r="T56" s="61">
        <v>7086</v>
      </c>
      <c r="U56" s="61">
        <f>K56+S56</f>
        <v>43711</v>
      </c>
      <c r="V56" s="61"/>
      <c r="W56" s="61"/>
      <c r="X56" s="61">
        <f t="shared" si="78"/>
        <v>56848</v>
      </c>
      <c r="Y56" s="61">
        <v>60000</v>
      </c>
      <c r="Z56" s="189">
        <v>56792</v>
      </c>
      <c r="AA56" s="61">
        <v>57957</v>
      </c>
      <c r="AB56" s="61">
        <f t="shared" si="51"/>
        <v>2043</v>
      </c>
      <c r="AC56" s="122">
        <f t="shared" si="75"/>
        <v>0.0352502717531964</v>
      </c>
      <c r="AD56" s="74">
        <f t="shared" si="76"/>
        <v>0.6</v>
      </c>
      <c r="AE56" s="61">
        <f>K56-I56</f>
        <v>-11943</v>
      </c>
      <c r="AF56" s="52">
        <v>1000</v>
      </c>
      <c r="AG56" s="52">
        <v>-700</v>
      </c>
      <c r="AH56" s="76">
        <v>424</v>
      </c>
      <c r="AI56" s="52">
        <v>-1600</v>
      </c>
      <c r="AJ56" s="76">
        <v>-1600</v>
      </c>
      <c r="AK56" s="74">
        <f t="shared" si="81"/>
        <v>-4.77358490566038</v>
      </c>
      <c r="AL56" s="74" t="s">
        <v>25</v>
      </c>
      <c r="AM56" s="61">
        <v>-321</v>
      </c>
      <c r="AN56" s="61">
        <v>-137</v>
      </c>
      <c r="AO56" s="61">
        <v>104</v>
      </c>
      <c r="AP56" s="61">
        <f t="shared" si="77"/>
        <v>-1921</v>
      </c>
      <c r="AQ56" s="61"/>
      <c r="AR56" s="61"/>
      <c r="AS56" s="61">
        <f t="shared" si="79"/>
        <v>-1954</v>
      </c>
      <c r="AT56" s="61">
        <v>-1600</v>
      </c>
      <c r="AU56" s="189">
        <v>-1955</v>
      </c>
      <c r="AV56" s="61">
        <v>97</v>
      </c>
      <c r="AW56" s="206">
        <f t="shared" si="40"/>
        <v>-1697</v>
      </c>
      <c r="AX56" s="74">
        <f t="shared" si="65"/>
        <v>-17.4948453608247</v>
      </c>
      <c r="AY56" s="74" t="s">
        <v>25</v>
      </c>
      <c r="AZ56" s="207"/>
      <c r="BA56" s="208"/>
      <c r="BB56" s="4" t="s">
        <v>189</v>
      </c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XDW56" s="13"/>
      <c r="XDX56" s="13"/>
      <c r="XDY56" s="13"/>
      <c r="XDZ56" s="13"/>
      <c r="XEA56" s="13"/>
      <c r="XEB56" s="13"/>
      <c r="XEC56" s="13"/>
      <c r="XED56" s="13"/>
      <c r="XEE56" s="13"/>
      <c r="XEF56" s="13"/>
      <c r="XEG56" s="13"/>
      <c r="XEH56" s="13"/>
      <c r="XEI56" s="13"/>
      <c r="XEJ56" s="13"/>
      <c r="XEK56" s="13"/>
      <c r="XEL56" s="13"/>
      <c r="XEM56" s="13"/>
      <c r="XEN56" s="13"/>
      <c r="XEO56" s="13"/>
      <c r="XEP56" s="13"/>
      <c r="XEQ56" s="13"/>
      <c r="XER56" s="13"/>
      <c r="XES56" s="13"/>
      <c r="XET56" s="13"/>
      <c r="XEU56" s="13"/>
      <c r="XEV56" s="13"/>
      <c r="XEW56" s="13"/>
      <c r="XEX56" s="13"/>
      <c r="XEY56" s="13"/>
      <c r="XEZ56" s="13"/>
      <c r="XFA56" s="13"/>
      <c r="XFB56" s="13"/>
      <c r="XFC56" s="13"/>
      <c r="XFD56" s="13"/>
    </row>
    <row r="57" s="3" customFormat="1" ht="25" hidden="1" customHeight="1" outlineLevel="1" spans="1:16384">
      <c r="A57" s="157" t="s">
        <v>190</v>
      </c>
      <c r="B57" s="141"/>
      <c r="C57" s="176"/>
      <c r="D57" s="169" t="s">
        <v>156</v>
      </c>
      <c r="E57" s="170"/>
      <c r="F57" s="171"/>
      <c r="G57" s="171"/>
      <c r="H57" s="170">
        <f t="shared" ref="H57:L57" si="82">H58+H32</f>
        <v>30000</v>
      </c>
      <c r="I57" s="170">
        <f t="shared" si="82"/>
        <v>6200</v>
      </c>
      <c r="J57" s="181">
        <v>0</v>
      </c>
      <c r="K57" s="170">
        <f t="shared" si="82"/>
        <v>5481</v>
      </c>
      <c r="L57" s="170">
        <f t="shared" si="82"/>
        <v>4517</v>
      </c>
      <c r="M57" s="170"/>
      <c r="N57" s="179">
        <f t="shared" si="66"/>
        <v>0.213415984060217</v>
      </c>
      <c r="O57" s="180">
        <f t="shared" si="80"/>
        <v>719</v>
      </c>
      <c r="P57" s="179">
        <f t="shared" si="63"/>
        <v>0.884032258064516</v>
      </c>
      <c r="Q57" s="188">
        <f t="shared" si="68"/>
        <v>0.1827</v>
      </c>
      <c r="R57" s="170">
        <f t="shared" ref="R57:U57" si="83">R58+R32</f>
        <v>696</v>
      </c>
      <c r="S57" s="170">
        <f t="shared" si="83"/>
        <v>1183</v>
      </c>
      <c r="T57" s="170">
        <f t="shared" si="83"/>
        <v>1372</v>
      </c>
      <c r="U57" s="170">
        <f t="shared" si="83"/>
        <v>6177</v>
      </c>
      <c r="V57" s="189"/>
      <c r="W57" s="189"/>
      <c r="X57" s="170">
        <f t="shared" ref="X57:AA57" si="84">X58+X32</f>
        <v>8732</v>
      </c>
      <c r="Y57" s="170">
        <f t="shared" si="84"/>
        <v>8000</v>
      </c>
      <c r="Z57" s="170">
        <f t="shared" si="84"/>
        <v>8500</v>
      </c>
      <c r="AA57" s="170">
        <f t="shared" si="84"/>
        <v>6985</v>
      </c>
      <c r="AB57" s="170">
        <f t="shared" si="51"/>
        <v>1015</v>
      </c>
      <c r="AC57" s="179">
        <f t="shared" si="75"/>
        <v>0.145311381531854</v>
      </c>
      <c r="AD57" s="179">
        <f t="shared" si="76"/>
        <v>0.266666666666667</v>
      </c>
      <c r="AE57" s="170">
        <f t="shared" ref="AE57:AH57" si="85">AE58+AE32</f>
        <v>-735</v>
      </c>
      <c r="AF57" s="170">
        <f t="shared" si="85"/>
        <v>-700</v>
      </c>
      <c r="AG57" s="170">
        <f t="shared" si="85"/>
        <v>-800</v>
      </c>
      <c r="AH57" s="170">
        <f t="shared" si="85"/>
        <v>-1126</v>
      </c>
      <c r="AI57" s="170" t="s">
        <v>25</v>
      </c>
      <c r="AJ57" s="170">
        <f t="shared" ref="AJ57:AP57" si="86">AJ58+AJ32</f>
        <v>-2894</v>
      </c>
      <c r="AK57" s="179">
        <f t="shared" si="81"/>
        <v>-1.57015985790409</v>
      </c>
      <c r="AL57" s="179">
        <f>AJ57/AG57</f>
        <v>3.6175</v>
      </c>
      <c r="AM57" s="170">
        <f t="shared" si="86"/>
        <v>-1335</v>
      </c>
      <c r="AN57" s="170">
        <f t="shared" si="86"/>
        <v>-1190</v>
      </c>
      <c r="AO57" s="170">
        <f t="shared" si="86"/>
        <v>-1396</v>
      </c>
      <c r="AP57" s="170">
        <f t="shared" si="86"/>
        <v>-4229</v>
      </c>
      <c r="AQ57" s="189"/>
      <c r="AR57" s="189"/>
      <c r="AS57" s="170">
        <f>AS58+AS32</f>
        <v>-6815</v>
      </c>
      <c r="AT57" s="170">
        <f>AT58+AT32</f>
        <v>-7000</v>
      </c>
      <c r="AU57" s="170">
        <f>AU58+AU32</f>
        <v>-7073</v>
      </c>
      <c r="AV57" s="170">
        <f>AV58+AV32</f>
        <v>-1742</v>
      </c>
      <c r="AW57" s="212">
        <f t="shared" si="40"/>
        <v>-5258</v>
      </c>
      <c r="AX57" s="179">
        <f>AS57/AV57-1</f>
        <v>2.91216991963261</v>
      </c>
      <c r="AY57" s="179">
        <f>AJ57/AF57</f>
        <v>4.13428571428571</v>
      </c>
      <c r="AZ57" s="216"/>
      <c r="BA57" s="217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XDW57" s="107"/>
      <c r="XDX57" s="107"/>
      <c r="XDY57" s="107"/>
      <c r="XDZ57" s="107"/>
      <c r="XEA57" s="107"/>
      <c r="XEB57" s="107"/>
      <c r="XEC57" s="107"/>
      <c r="XED57" s="107"/>
      <c r="XEE57" s="107"/>
      <c r="XEF57" s="107"/>
      <c r="XEG57" s="107"/>
      <c r="XEH57" s="107"/>
      <c r="XEI57" s="107"/>
      <c r="XEJ57" s="107"/>
      <c r="XEK57" s="107"/>
      <c r="XEL57" s="107"/>
      <c r="XEM57" s="107"/>
      <c r="XEN57" s="107"/>
      <c r="XEO57" s="107"/>
      <c r="XEP57" s="107"/>
      <c r="XEQ57" s="107"/>
      <c r="XER57" s="107"/>
      <c r="XES57" s="107"/>
      <c r="XET57" s="107"/>
      <c r="XEU57" s="107"/>
      <c r="XEV57" s="107"/>
      <c r="XEW57" s="107"/>
      <c r="XEX57" s="107"/>
      <c r="XEY57" s="107"/>
      <c r="XEZ57" s="107"/>
      <c r="XFA57" s="107"/>
      <c r="XFB57" s="107"/>
      <c r="XFC57" s="107"/>
      <c r="XFD57" s="107"/>
    </row>
    <row r="58" s="1" customFormat="1" ht="25" customHeight="1" collapsed="1" spans="1:16384">
      <c r="A58" s="157"/>
      <c r="B58" s="141"/>
      <c r="C58" s="164">
        <v>19</v>
      </c>
      <c r="D58" s="56" t="s">
        <v>67</v>
      </c>
      <c r="E58" s="47" t="s">
        <v>174</v>
      </c>
      <c r="F58" s="51" t="s">
        <v>159</v>
      </c>
      <c r="G58" s="51" t="s">
        <v>154</v>
      </c>
      <c r="H58" s="51">
        <v>20000</v>
      </c>
      <c r="I58" s="52">
        <v>6200</v>
      </c>
      <c r="J58" s="79">
        <v>0</v>
      </c>
      <c r="K58" s="76">
        <v>5465</v>
      </c>
      <c r="L58" s="61">
        <v>4517</v>
      </c>
      <c r="M58" s="61">
        <f>K58-L58</f>
        <v>948</v>
      </c>
      <c r="N58" s="74">
        <f t="shared" si="66"/>
        <v>0.209873810050919</v>
      </c>
      <c r="O58" s="76">
        <f t="shared" si="80"/>
        <v>735</v>
      </c>
      <c r="P58" s="74">
        <f t="shared" si="63"/>
        <v>0.881451612903226</v>
      </c>
      <c r="Q58" s="74">
        <f t="shared" si="68"/>
        <v>0.27325</v>
      </c>
      <c r="R58" s="61">
        <v>607</v>
      </c>
      <c r="S58" s="61">
        <v>847</v>
      </c>
      <c r="T58" s="61">
        <v>1047</v>
      </c>
      <c r="U58" s="61">
        <f>K58+R58</f>
        <v>6072</v>
      </c>
      <c r="V58" s="61"/>
      <c r="W58" s="61"/>
      <c r="X58" s="61">
        <f>K58+R58+S58+T58</f>
        <v>7966</v>
      </c>
      <c r="Y58" s="61">
        <v>8000</v>
      </c>
      <c r="Z58" s="194">
        <v>8000</v>
      </c>
      <c r="AA58" s="61">
        <v>6985</v>
      </c>
      <c r="AB58" s="61">
        <f t="shared" si="51"/>
        <v>1015</v>
      </c>
      <c r="AC58" s="122">
        <f t="shared" si="75"/>
        <v>0.145311381531854</v>
      </c>
      <c r="AD58" s="74">
        <f t="shared" si="76"/>
        <v>0.4</v>
      </c>
      <c r="AE58" s="61">
        <f>K58-I58</f>
        <v>-735</v>
      </c>
      <c r="AF58" s="52">
        <v>-700</v>
      </c>
      <c r="AG58" s="52">
        <v>-800</v>
      </c>
      <c r="AH58" s="76">
        <v>-1126</v>
      </c>
      <c r="AI58" s="98">
        <v>0</v>
      </c>
      <c r="AJ58" s="76">
        <v>-989</v>
      </c>
      <c r="AK58" s="74">
        <f t="shared" si="81"/>
        <v>0.121669626998224</v>
      </c>
      <c r="AL58" s="74" t="s">
        <v>25</v>
      </c>
      <c r="AM58" s="61">
        <v>-15</v>
      </c>
      <c r="AN58" s="61">
        <v>-15</v>
      </c>
      <c r="AO58" s="61">
        <v>-15</v>
      </c>
      <c r="AP58" s="61">
        <f>AJ58+AM58</f>
        <v>-1004</v>
      </c>
      <c r="AQ58" s="61"/>
      <c r="AR58" s="61"/>
      <c r="AS58" s="61">
        <f>AJ58+AM58+AN58+AO58</f>
        <v>-1034</v>
      </c>
      <c r="AT58" s="61">
        <v>-1000</v>
      </c>
      <c r="AU58" s="189">
        <v>-1000</v>
      </c>
      <c r="AV58" s="61">
        <v>-1742</v>
      </c>
      <c r="AW58" s="206">
        <f t="shared" si="40"/>
        <v>742</v>
      </c>
      <c r="AX58" s="74">
        <f>(AT58-AV58)/ABS(AV58)</f>
        <v>0.425947187141217</v>
      </c>
      <c r="AY58" s="74">
        <f>2-AT58/AF58</f>
        <v>0.571428571428571</v>
      </c>
      <c r="AZ58" s="207"/>
      <c r="BA58" s="208"/>
      <c r="BB58" s="4" t="s">
        <v>191</v>
      </c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XDW58" s="13"/>
      <c r="XDX58" s="13"/>
      <c r="XDY58" s="13"/>
      <c r="XDZ58" s="13"/>
      <c r="XEA58" s="13"/>
      <c r="XEB58" s="13"/>
      <c r="XEC58" s="13"/>
      <c r="XED58" s="13"/>
      <c r="XEE58" s="13"/>
      <c r="XEF58" s="13"/>
      <c r="XEG58" s="13"/>
      <c r="XEH58" s="13"/>
      <c r="XEI58" s="13"/>
      <c r="XEJ58" s="13"/>
      <c r="XEK58" s="13"/>
      <c r="XEL58" s="13"/>
      <c r="XEM58" s="13"/>
      <c r="XEN58" s="13"/>
      <c r="XEO58" s="13"/>
      <c r="XEP58" s="13"/>
      <c r="XEQ58" s="13"/>
      <c r="XER58" s="13"/>
      <c r="XES58" s="13"/>
      <c r="XET58" s="13"/>
      <c r="XEU58" s="13"/>
      <c r="XEV58" s="13"/>
      <c r="XEW58" s="13"/>
      <c r="XEX58" s="13"/>
      <c r="XEY58" s="13"/>
      <c r="XEZ58" s="13"/>
      <c r="XFA58" s="13"/>
      <c r="XFB58" s="13"/>
      <c r="XFC58" s="13"/>
      <c r="XFD58" s="13"/>
    </row>
    <row r="59" s="3" customFormat="1" ht="25" hidden="1" customHeight="1" outlineLevel="1" spans="1:16384">
      <c r="A59" s="157" t="s">
        <v>9</v>
      </c>
      <c r="B59" s="141"/>
      <c r="C59" s="168"/>
      <c r="D59" s="169" t="s">
        <v>156</v>
      </c>
      <c r="E59" s="170"/>
      <c r="F59" s="171"/>
      <c r="G59" s="171"/>
      <c r="H59" s="170">
        <f t="shared" ref="H59:L59" si="87">H60+H65+H66+H67</f>
        <v>1789600</v>
      </c>
      <c r="I59" s="170">
        <f t="shared" si="87"/>
        <v>718300</v>
      </c>
      <c r="J59" s="182">
        <v>737999.8</v>
      </c>
      <c r="K59" s="170">
        <f t="shared" si="87"/>
        <v>753855</v>
      </c>
      <c r="L59" s="170">
        <f t="shared" si="87"/>
        <v>725746</v>
      </c>
      <c r="M59" s="170"/>
      <c r="N59" s="179">
        <f t="shared" si="66"/>
        <v>0.0387311814326223</v>
      </c>
      <c r="O59" s="180"/>
      <c r="P59" s="179">
        <f t="shared" si="63"/>
        <v>1.04949881665042</v>
      </c>
      <c r="Q59" s="188">
        <f t="shared" ref="Q59:Q67" si="88">K59/H59</f>
        <v>0.421242177022798</v>
      </c>
      <c r="R59" s="170">
        <f t="shared" ref="R59:U59" si="89">R60+R65+R66+R67</f>
        <v>88700</v>
      </c>
      <c r="S59" s="170">
        <f t="shared" si="89"/>
        <v>88371</v>
      </c>
      <c r="T59" s="170">
        <f t="shared" si="89"/>
        <v>102027</v>
      </c>
      <c r="U59" s="170">
        <f t="shared" si="89"/>
        <v>842555</v>
      </c>
      <c r="V59" s="189"/>
      <c r="W59" s="189"/>
      <c r="X59" s="170">
        <f t="shared" ref="X59:AA59" si="90">X60+X65+X66+X67</f>
        <v>1032953</v>
      </c>
      <c r="Y59" s="170">
        <f t="shared" si="90"/>
        <v>1051100</v>
      </c>
      <c r="Z59" s="170">
        <f t="shared" si="90"/>
        <v>1051100</v>
      </c>
      <c r="AA59" s="170">
        <f t="shared" si="90"/>
        <v>1050862</v>
      </c>
      <c r="AB59" s="170">
        <f t="shared" ref="AB59:AB84" si="91">Y59-AA59</f>
        <v>238</v>
      </c>
      <c r="AC59" s="179">
        <f t="shared" si="75"/>
        <v>0.000226480736766677</v>
      </c>
      <c r="AD59" s="179">
        <f t="shared" si="76"/>
        <v>0.58733795261511</v>
      </c>
      <c r="AE59" s="182">
        <f t="shared" ref="AE59:AH59" si="92">AE60+AE65+AE66+AE67</f>
        <v>13178.2</v>
      </c>
      <c r="AF59" s="170">
        <f t="shared" si="92"/>
        <v>12100</v>
      </c>
      <c r="AG59" s="170">
        <f t="shared" si="92"/>
        <v>5480</v>
      </c>
      <c r="AH59" s="170">
        <f t="shared" si="92"/>
        <v>9682</v>
      </c>
      <c r="AI59" s="170" t="s">
        <v>25</v>
      </c>
      <c r="AJ59" s="170">
        <f t="shared" ref="AJ59:AP59" si="93">AJ60+AJ65+AJ66+AJ67</f>
        <v>6180</v>
      </c>
      <c r="AK59" s="179">
        <f t="shared" si="81"/>
        <v>-0.361702127659574</v>
      </c>
      <c r="AL59" s="179">
        <f>AJ59/AG59</f>
        <v>1.12773722627737</v>
      </c>
      <c r="AM59" s="170">
        <f t="shared" si="93"/>
        <v>663</v>
      </c>
      <c r="AN59" s="170">
        <f t="shared" si="93"/>
        <v>-12</v>
      </c>
      <c r="AO59" s="170">
        <f t="shared" si="93"/>
        <v>968</v>
      </c>
      <c r="AP59" s="170">
        <f t="shared" si="93"/>
        <v>6843</v>
      </c>
      <c r="AQ59" s="189"/>
      <c r="AR59" s="189"/>
      <c r="AS59" s="170">
        <f>AS60+AS65+AS66+AS67</f>
        <v>7799</v>
      </c>
      <c r="AT59" s="170">
        <f>AT60+AT65+AT66+AT67</f>
        <v>7850</v>
      </c>
      <c r="AU59" s="170">
        <f>AU60+AU65+AU66+AU67</f>
        <v>7550</v>
      </c>
      <c r="AV59" s="170">
        <f>AV60+AV65+AV66+AV67</f>
        <v>15439</v>
      </c>
      <c r="AW59" s="212">
        <f t="shared" si="40"/>
        <v>-7589</v>
      </c>
      <c r="AX59" s="179">
        <f>AS59/AV59-1</f>
        <v>-0.494850702765723</v>
      </c>
      <c r="AY59" s="179">
        <f>AJ59/AF59</f>
        <v>0.510743801652893</v>
      </c>
      <c r="AZ59" s="216"/>
      <c r="BA59" s="217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XDW59" s="107"/>
      <c r="XDX59" s="107"/>
      <c r="XDY59" s="107"/>
      <c r="XDZ59" s="107"/>
      <c r="XEA59" s="107"/>
      <c r="XEB59" s="107"/>
      <c r="XEC59" s="107"/>
      <c r="XED59" s="107"/>
      <c r="XEE59" s="107"/>
      <c r="XEF59" s="107"/>
      <c r="XEG59" s="107"/>
      <c r="XEH59" s="107"/>
      <c r="XEI59" s="107"/>
      <c r="XEJ59" s="107"/>
      <c r="XEK59" s="107"/>
      <c r="XEL59" s="107"/>
      <c r="XEM59" s="107"/>
      <c r="XEN59" s="107"/>
      <c r="XEO59" s="107"/>
      <c r="XEP59" s="107"/>
      <c r="XEQ59" s="107"/>
      <c r="XER59" s="107"/>
      <c r="XES59" s="107"/>
      <c r="XET59" s="107"/>
      <c r="XEU59" s="107"/>
      <c r="XEV59" s="107"/>
      <c r="XEW59" s="107"/>
      <c r="XEX59" s="107"/>
      <c r="XEY59" s="107"/>
      <c r="XEZ59" s="107"/>
      <c r="XFA59" s="107"/>
      <c r="XFB59" s="107"/>
      <c r="XFC59" s="107"/>
      <c r="XFD59" s="107"/>
    </row>
    <row r="60" s="1" customFormat="1" ht="25" hidden="1" customHeight="1" outlineLevel="1" collapsed="1" spans="1:16384">
      <c r="A60" s="157"/>
      <c r="B60" s="141"/>
      <c r="C60" s="164">
        <v>21</v>
      </c>
      <c r="D60" s="45" t="s">
        <v>72</v>
      </c>
      <c r="E60" s="47" t="s">
        <v>192</v>
      </c>
      <c r="F60" s="51" t="s">
        <v>180</v>
      </c>
      <c r="G60" s="51" t="s">
        <v>154</v>
      </c>
      <c r="H60" s="51">
        <v>1400000</v>
      </c>
      <c r="I60" s="52">
        <v>540000</v>
      </c>
      <c r="J60" s="77">
        <v>549999.8</v>
      </c>
      <c r="K60" s="61">
        <f>K61+K62</f>
        <v>558589</v>
      </c>
      <c r="L60" s="61">
        <f>L61+L62</f>
        <v>502679</v>
      </c>
      <c r="M60" s="61">
        <f t="shared" ref="M59:M67" si="94">K60-L60</f>
        <v>55910</v>
      </c>
      <c r="N60" s="74">
        <f t="shared" si="66"/>
        <v>0.111224061478598</v>
      </c>
      <c r="O60" s="76">
        <f>J60-K60</f>
        <v>-8589.19999999995</v>
      </c>
      <c r="P60" s="74">
        <f t="shared" si="63"/>
        <v>1.03442407407407</v>
      </c>
      <c r="Q60" s="74">
        <f t="shared" si="88"/>
        <v>0.398992142857143</v>
      </c>
      <c r="R60" s="61">
        <f>R61+R62</f>
        <v>74000</v>
      </c>
      <c r="S60" s="61">
        <f>S61+S62</f>
        <v>75000</v>
      </c>
      <c r="T60" s="61">
        <f>T61+T62</f>
        <v>90000</v>
      </c>
      <c r="U60" s="61">
        <f t="shared" ref="U59:U67" si="95">K60+R60</f>
        <v>632589</v>
      </c>
      <c r="V60" s="61"/>
      <c r="W60" s="61"/>
      <c r="X60" s="61">
        <f>K60+R60+S60+T60</f>
        <v>797589</v>
      </c>
      <c r="Y60" s="61">
        <f>Y61+Y62</f>
        <v>810000</v>
      </c>
      <c r="Z60" s="189">
        <f>Z61+Z62</f>
        <v>810000</v>
      </c>
      <c r="AA60" s="61">
        <f>AA61+AA62</f>
        <v>730052</v>
      </c>
      <c r="AB60" s="61">
        <f t="shared" si="91"/>
        <v>79948</v>
      </c>
      <c r="AC60" s="122">
        <f t="shared" si="75"/>
        <v>0.109510007506315</v>
      </c>
      <c r="AD60" s="74">
        <f t="shared" si="76"/>
        <v>0.578571428571429</v>
      </c>
      <c r="AE60" s="61">
        <f>K60-J60</f>
        <v>8589.19999999995</v>
      </c>
      <c r="AF60" s="52">
        <v>1000</v>
      </c>
      <c r="AG60" s="52">
        <v>480</v>
      </c>
      <c r="AH60" s="52">
        <f t="shared" ref="AH60:AO60" si="96">AH61+AH62</f>
        <v>626</v>
      </c>
      <c r="AI60" s="98">
        <v>0</v>
      </c>
      <c r="AJ60" s="61">
        <f t="shared" si="96"/>
        <v>547</v>
      </c>
      <c r="AK60" s="74">
        <f t="shared" si="81"/>
        <v>-0.126198083067093</v>
      </c>
      <c r="AL60" s="74">
        <f>AJ60/AG60</f>
        <v>1.13958333333333</v>
      </c>
      <c r="AM60" s="61">
        <f t="shared" si="96"/>
        <v>60</v>
      </c>
      <c r="AN60" s="61">
        <f t="shared" si="96"/>
        <v>60</v>
      </c>
      <c r="AO60" s="61">
        <f t="shared" si="96"/>
        <v>65</v>
      </c>
      <c r="AP60" s="61">
        <f t="shared" ref="AP59:AP67" si="97">AJ60+AM60</f>
        <v>607</v>
      </c>
      <c r="AQ60" s="61"/>
      <c r="AR60" s="61"/>
      <c r="AS60" s="61">
        <f>AJ60+AM60+AN60+AO60</f>
        <v>732</v>
      </c>
      <c r="AT60" s="61">
        <f>AT61+AT62</f>
        <v>550</v>
      </c>
      <c r="AU60" s="189">
        <f>AU61+AU62</f>
        <v>550</v>
      </c>
      <c r="AV60" s="61">
        <f>AV61+AV62</f>
        <v>814</v>
      </c>
      <c r="AW60" s="206">
        <f t="shared" si="40"/>
        <v>-264</v>
      </c>
      <c r="AX60" s="74">
        <f t="shared" ref="AX59:AX67" si="98">(AT60-AV60)/ABS(AV60)</f>
        <v>-0.324324324324324</v>
      </c>
      <c r="AY60" s="74">
        <f>AT60/AF60</f>
        <v>0.55</v>
      </c>
      <c r="AZ60" s="207"/>
      <c r="BA60" s="208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XDW60" s="13"/>
      <c r="XDX60" s="13"/>
      <c r="XDY60" s="13"/>
      <c r="XDZ60" s="13"/>
      <c r="XEA60" s="13"/>
      <c r="XEB60" s="13"/>
      <c r="XEC60" s="13"/>
      <c r="XED60" s="13"/>
      <c r="XEE60" s="13"/>
      <c r="XEF60" s="13"/>
      <c r="XEG60" s="13"/>
      <c r="XEH60" s="13"/>
      <c r="XEI60" s="13"/>
      <c r="XEJ60" s="13"/>
      <c r="XEK60" s="13"/>
      <c r="XEL60" s="13"/>
      <c r="XEM60" s="13"/>
      <c r="XEN60" s="13"/>
      <c r="XEO60" s="13"/>
      <c r="XEP60" s="13"/>
      <c r="XEQ60" s="13"/>
      <c r="XER60" s="13"/>
      <c r="XES60" s="13"/>
      <c r="XET60" s="13"/>
      <c r="XEU60" s="13"/>
      <c r="XEV60" s="13"/>
      <c r="XEW60" s="13"/>
      <c r="XEX60" s="13"/>
      <c r="XEY60" s="13"/>
      <c r="XEZ60" s="13"/>
      <c r="XFA60" s="13"/>
      <c r="XFB60" s="13"/>
      <c r="XFC60" s="13"/>
      <c r="XFD60" s="13"/>
    </row>
    <row r="61" s="1" customFormat="1" ht="25" customHeight="1" collapsed="1" spans="1:16384">
      <c r="A61" s="157"/>
      <c r="B61" s="141"/>
      <c r="C61" s="177" t="s">
        <v>193</v>
      </c>
      <c r="D61" s="45" t="s">
        <v>72</v>
      </c>
      <c r="E61" s="52"/>
      <c r="F61" s="51"/>
      <c r="G61" s="51"/>
      <c r="H61" s="51">
        <v>1000000</v>
      </c>
      <c r="I61" s="52">
        <v>420000</v>
      </c>
      <c r="J61" s="51">
        <v>420000</v>
      </c>
      <c r="K61" s="76">
        <v>428142</v>
      </c>
      <c r="L61" s="61">
        <v>502679</v>
      </c>
      <c r="M61" s="61">
        <f t="shared" si="94"/>
        <v>-74537</v>
      </c>
      <c r="N61" s="74">
        <f t="shared" si="66"/>
        <v>-0.14827951834073</v>
      </c>
      <c r="O61" s="76">
        <f t="shared" ref="O60:O62" si="99">I61-K61</f>
        <v>-8142</v>
      </c>
      <c r="P61" s="74">
        <f t="shared" si="63"/>
        <v>1.01938571428571</v>
      </c>
      <c r="Q61" s="74">
        <f t="shared" si="88"/>
        <v>0.428142</v>
      </c>
      <c r="R61" s="61">
        <v>44000</v>
      </c>
      <c r="S61" s="61">
        <v>45000</v>
      </c>
      <c r="T61" s="61">
        <v>50000</v>
      </c>
      <c r="U61" s="61">
        <f t="shared" si="95"/>
        <v>472142</v>
      </c>
      <c r="V61" s="61"/>
      <c r="W61" s="61"/>
      <c r="X61" s="61">
        <f t="shared" ref="X61:X67" si="100">K61+R61+S61+T61</f>
        <v>567142</v>
      </c>
      <c r="Y61" s="61">
        <v>560000</v>
      </c>
      <c r="Z61" s="194">
        <v>560000</v>
      </c>
      <c r="AA61" s="61">
        <v>727830</v>
      </c>
      <c r="AB61" s="61">
        <f t="shared" si="91"/>
        <v>-167830</v>
      </c>
      <c r="AC61" s="122">
        <f t="shared" si="75"/>
        <v>-0.230589560749076</v>
      </c>
      <c r="AD61" s="74">
        <f t="shared" si="76"/>
        <v>0.56</v>
      </c>
      <c r="AE61" s="61"/>
      <c r="AF61" s="52">
        <v>1000</v>
      </c>
      <c r="AG61" s="52">
        <v>400</v>
      </c>
      <c r="AH61" s="76">
        <v>626</v>
      </c>
      <c r="AI61" s="98">
        <v>0</v>
      </c>
      <c r="AJ61" s="76">
        <v>500</v>
      </c>
      <c r="AK61" s="74">
        <f t="shared" si="81"/>
        <v>-0.201277955271566</v>
      </c>
      <c r="AL61" s="74">
        <f>AJ61/AG61</f>
        <v>1.25</v>
      </c>
      <c r="AM61" s="61">
        <v>50</v>
      </c>
      <c r="AN61" s="61">
        <v>50</v>
      </c>
      <c r="AO61" s="61">
        <v>50</v>
      </c>
      <c r="AP61" s="61">
        <f t="shared" si="97"/>
        <v>550</v>
      </c>
      <c r="AQ61" s="61"/>
      <c r="AR61" s="61"/>
      <c r="AS61" s="61">
        <f t="shared" ref="AS61:AS67" si="101">AJ61+AM61+AN61+AO61</f>
        <v>650</v>
      </c>
      <c r="AT61" s="61">
        <v>550</v>
      </c>
      <c r="AU61" s="189">
        <v>550</v>
      </c>
      <c r="AV61" s="61">
        <v>817</v>
      </c>
      <c r="AW61" s="206">
        <f t="shared" si="40"/>
        <v>-267</v>
      </c>
      <c r="AX61" s="74">
        <f t="shared" si="98"/>
        <v>-0.326805385556916</v>
      </c>
      <c r="AY61" s="74">
        <f>AT61/AF61</f>
        <v>0.55</v>
      </c>
      <c r="AZ61" s="207"/>
      <c r="BA61" s="208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XDW61" s="13"/>
      <c r="XDX61" s="13"/>
      <c r="XDY61" s="13"/>
      <c r="XDZ61" s="13"/>
      <c r="XEA61" s="13"/>
      <c r="XEB61" s="13"/>
      <c r="XEC61" s="13"/>
      <c r="XED61" s="13"/>
      <c r="XEE61" s="13"/>
      <c r="XEF61" s="13"/>
      <c r="XEG61" s="13"/>
      <c r="XEH61" s="13"/>
      <c r="XEI61" s="13"/>
      <c r="XEJ61" s="13"/>
      <c r="XEK61" s="13"/>
      <c r="XEL61" s="13"/>
      <c r="XEM61" s="13"/>
      <c r="XEN61" s="13"/>
      <c r="XEO61" s="13"/>
      <c r="XEP61" s="13"/>
      <c r="XEQ61" s="13"/>
      <c r="XER61" s="13"/>
      <c r="XES61" s="13"/>
      <c r="XET61" s="13"/>
      <c r="XEU61" s="13"/>
      <c r="XEV61" s="13"/>
      <c r="XEW61" s="13"/>
      <c r="XEX61" s="13"/>
      <c r="XEY61" s="13"/>
      <c r="XEZ61" s="13"/>
      <c r="XFA61" s="13"/>
      <c r="XFB61" s="13"/>
      <c r="XFC61" s="13"/>
      <c r="XFD61" s="13"/>
    </row>
    <row r="62" s="1" customFormat="1" ht="25" customHeight="1" spans="1:16384">
      <c r="A62" s="157"/>
      <c r="B62" s="141"/>
      <c r="C62" s="177" t="s">
        <v>194</v>
      </c>
      <c r="D62" s="45" t="s">
        <v>73</v>
      </c>
      <c r="E62" s="52"/>
      <c r="F62" s="52"/>
      <c r="G62" s="52"/>
      <c r="H62" s="51">
        <v>400000</v>
      </c>
      <c r="I62" s="52">
        <v>120000</v>
      </c>
      <c r="J62" s="77">
        <v>129999.8</v>
      </c>
      <c r="K62" s="76">
        <v>130447</v>
      </c>
      <c r="L62" s="98">
        <v>0</v>
      </c>
      <c r="M62" s="61">
        <f t="shared" si="94"/>
        <v>130447</v>
      </c>
      <c r="N62" s="98">
        <v>0</v>
      </c>
      <c r="O62" s="76">
        <f>J62-K62</f>
        <v>-447.199999999997</v>
      </c>
      <c r="P62" s="74">
        <f t="shared" si="63"/>
        <v>1.08705833333333</v>
      </c>
      <c r="Q62" s="74">
        <f t="shared" si="88"/>
        <v>0.3261175</v>
      </c>
      <c r="R62" s="61">
        <v>30000</v>
      </c>
      <c r="S62" s="61">
        <v>30000</v>
      </c>
      <c r="T62" s="61">
        <v>40000</v>
      </c>
      <c r="U62" s="61">
        <f t="shared" si="95"/>
        <v>160447</v>
      </c>
      <c r="V62" s="61"/>
      <c r="W62" s="61"/>
      <c r="X62" s="61">
        <f t="shared" si="100"/>
        <v>230447</v>
      </c>
      <c r="Y62" s="61">
        <v>250000</v>
      </c>
      <c r="Z62" s="194">
        <v>250000</v>
      </c>
      <c r="AA62" s="61">
        <v>2222</v>
      </c>
      <c r="AB62" s="61">
        <f t="shared" si="91"/>
        <v>247778</v>
      </c>
      <c r="AC62" s="122" t="s">
        <v>25</v>
      </c>
      <c r="AD62" s="74">
        <f t="shared" si="76"/>
        <v>0.625</v>
      </c>
      <c r="AE62" s="61">
        <f>K62-J62</f>
        <v>447.199999999997</v>
      </c>
      <c r="AF62" s="52">
        <v>180</v>
      </c>
      <c r="AG62" s="52">
        <v>80</v>
      </c>
      <c r="AH62" s="76">
        <v>0</v>
      </c>
      <c r="AI62" s="98">
        <v>0</v>
      </c>
      <c r="AJ62" s="76">
        <v>47</v>
      </c>
      <c r="AK62" s="98">
        <v>0</v>
      </c>
      <c r="AL62" s="74">
        <f>AJ62/AG62</f>
        <v>0.5875</v>
      </c>
      <c r="AM62" s="61">
        <v>10</v>
      </c>
      <c r="AN62" s="61">
        <v>10</v>
      </c>
      <c r="AO62" s="61">
        <v>15</v>
      </c>
      <c r="AP62" s="61">
        <f t="shared" si="97"/>
        <v>57</v>
      </c>
      <c r="AQ62" s="61"/>
      <c r="AR62" s="61"/>
      <c r="AS62" s="61">
        <f t="shared" si="101"/>
        <v>82</v>
      </c>
      <c r="AT62" s="61">
        <v>0</v>
      </c>
      <c r="AU62" s="194">
        <v>0</v>
      </c>
      <c r="AV62" s="61">
        <v>-3</v>
      </c>
      <c r="AW62" s="206">
        <f t="shared" si="40"/>
        <v>3</v>
      </c>
      <c r="AX62" s="74" t="s">
        <v>25</v>
      </c>
      <c r="AY62" s="74" t="s">
        <v>25</v>
      </c>
      <c r="AZ62" s="207"/>
      <c r="BA62" s="208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XDW62" s="13"/>
      <c r="XDX62" s="13"/>
      <c r="XDY62" s="13"/>
      <c r="XDZ62" s="13"/>
      <c r="XEA62" s="13"/>
      <c r="XEB62" s="13"/>
      <c r="XEC62" s="13"/>
      <c r="XED62" s="13"/>
      <c r="XEE62" s="13"/>
      <c r="XEF62" s="13"/>
      <c r="XEG62" s="13"/>
      <c r="XEH62" s="13"/>
      <c r="XEI62" s="13"/>
      <c r="XEJ62" s="13"/>
      <c r="XEK62" s="13"/>
      <c r="XEL62" s="13"/>
      <c r="XEM62" s="13"/>
      <c r="XEN62" s="13"/>
      <c r="XEO62" s="13"/>
      <c r="XEP62" s="13"/>
      <c r="XEQ62" s="13"/>
      <c r="XER62" s="13"/>
      <c r="XES62" s="13"/>
      <c r="XET62" s="13"/>
      <c r="XEU62" s="13"/>
      <c r="XEV62" s="13"/>
      <c r="XEW62" s="13"/>
      <c r="XEX62" s="13"/>
      <c r="XEY62" s="13"/>
      <c r="XEZ62" s="13"/>
      <c r="XFA62" s="13"/>
      <c r="XFB62" s="13"/>
      <c r="XFC62" s="13"/>
      <c r="XFD62" s="13"/>
    </row>
    <row r="63" s="1" customFormat="1" ht="25" hidden="1" customHeight="1" outlineLevel="1" spans="1:16384">
      <c r="A63" s="157"/>
      <c r="B63" s="141"/>
      <c r="C63" s="165"/>
      <c r="D63" s="45" t="s">
        <v>161</v>
      </c>
      <c r="E63" s="52"/>
      <c r="F63" s="52"/>
      <c r="G63" s="52"/>
      <c r="H63" s="51" t="s">
        <v>25</v>
      </c>
      <c r="I63" s="52" t="s">
        <v>25</v>
      </c>
      <c r="J63" s="77" t="s">
        <v>25</v>
      </c>
      <c r="K63" s="76">
        <f>K62-K64</f>
        <v>35447</v>
      </c>
      <c r="L63" s="98">
        <v>0</v>
      </c>
      <c r="M63" s="61">
        <f t="shared" si="94"/>
        <v>35447</v>
      </c>
      <c r="N63" s="98">
        <v>0</v>
      </c>
      <c r="O63" s="98"/>
      <c r="P63" s="98">
        <v>0</v>
      </c>
      <c r="Q63" s="74" t="s">
        <v>25</v>
      </c>
      <c r="R63" s="98">
        <v>0</v>
      </c>
      <c r="S63" s="98">
        <v>0</v>
      </c>
      <c r="T63" s="98">
        <v>0</v>
      </c>
      <c r="U63" s="61">
        <f t="shared" si="95"/>
        <v>35447</v>
      </c>
      <c r="V63" s="61"/>
      <c r="W63" s="61"/>
      <c r="X63" s="61">
        <f t="shared" si="100"/>
        <v>35447</v>
      </c>
      <c r="Y63" s="61"/>
      <c r="Z63" s="189"/>
      <c r="AA63" s="98">
        <v>0</v>
      </c>
      <c r="AB63" s="61">
        <f t="shared" si="91"/>
        <v>0</v>
      </c>
      <c r="AC63" s="98">
        <v>0</v>
      </c>
      <c r="AD63" s="74" t="s">
        <v>25</v>
      </c>
      <c r="AE63" s="61" t="s">
        <v>25</v>
      </c>
      <c r="AF63" s="52" t="s">
        <v>25</v>
      </c>
      <c r="AG63" s="52" t="s">
        <v>25</v>
      </c>
      <c r="AH63" s="76" t="s">
        <v>25</v>
      </c>
      <c r="AI63" s="52" t="s">
        <v>25</v>
      </c>
      <c r="AJ63" s="76">
        <f>AJ62-AJ64</f>
        <v>172</v>
      </c>
      <c r="AK63" s="98">
        <v>0</v>
      </c>
      <c r="AL63" s="98">
        <v>0</v>
      </c>
      <c r="AM63" s="98">
        <v>0</v>
      </c>
      <c r="AN63" s="98">
        <v>0</v>
      </c>
      <c r="AO63" s="98">
        <v>0</v>
      </c>
      <c r="AP63" s="98">
        <v>0</v>
      </c>
      <c r="AQ63" s="61"/>
      <c r="AR63" s="61"/>
      <c r="AS63" s="61">
        <f t="shared" si="101"/>
        <v>172</v>
      </c>
      <c r="AT63" s="61"/>
      <c r="AU63" s="189"/>
      <c r="AV63" s="98">
        <v>0</v>
      </c>
      <c r="AW63" s="206" t="s">
        <v>25</v>
      </c>
      <c r="AX63" s="74" t="s">
        <v>25</v>
      </c>
      <c r="AY63" s="74" t="s">
        <v>25</v>
      </c>
      <c r="AZ63" s="207"/>
      <c r="BA63" s="208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  <c r="XEH63" s="13"/>
      <c r="XEI63" s="13"/>
      <c r="XEJ63" s="13"/>
      <c r="XEK63" s="13"/>
      <c r="XEL63" s="13"/>
      <c r="XEM63" s="13"/>
      <c r="XEN63" s="13"/>
      <c r="XEO63" s="13"/>
      <c r="XEP63" s="13"/>
      <c r="XEQ63" s="13"/>
      <c r="XER63" s="13"/>
      <c r="XES63" s="13"/>
      <c r="XET63" s="13"/>
      <c r="XEU63" s="13"/>
      <c r="XEV63" s="13"/>
      <c r="XEW63" s="13"/>
      <c r="XEX63" s="13"/>
      <c r="XEY63" s="13"/>
      <c r="XEZ63" s="13"/>
      <c r="XFA63" s="13"/>
      <c r="XFB63" s="13"/>
      <c r="XFC63" s="13"/>
      <c r="XFD63" s="13"/>
    </row>
    <row r="64" s="1" customFormat="1" ht="25" hidden="1" customHeight="1" outlineLevel="1" spans="1:16384">
      <c r="A64" s="157"/>
      <c r="B64" s="141"/>
      <c r="C64" s="165"/>
      <c r="D64" s="45" t="s">
        <v>162</v>
      </c>
      <c r="E64" s="51"/>
      <c r="F64" s="52"/>
      <c r="G64" s="52"/>
      <c r="H64" s="77">
        <v>0</v>
      </c>
      <c r="I64" s="76">
        <v>0</v>
      </c>
      <c r="J64" s="77">
        <v>0</v>
      </c>
      <c r="K64" s="76">
        <f>95000</f>
        <v>95000</v>
      </c>
      <c r="L64" s="98">
        <v>0</v>
      </c>
      <c r="M64" s="61">
        <f t="shared" si="94"/>
        <v>95000</v>
      </c>
      <c r="N64" s="98">
        <v>0</v>
      </c>
      <c r="O64" s="98"/>
      <c r="P64" s="98">
        <v>0</v>
      </c>
      <c r="Q64" s="74" t="s">
        <v>25</v>
      </c>
      <c r="R64" s="98">
        <v>0</v>
      </c>
      <c r="S64" s="98">
        <v>0</v>
      </c>
      <c r="T64" s="98">
        <v>0</v>
      </c>
      <c r="U64" s="61">
        <f t="shared" si="95"/>
        <v>95000</v>
      </c>
      <c r="V64" s="61"/>
      <c r="W64" s="61"/>
      <c r="X64" s="61">
        <f t="shared" si="100"/>
        <v>95000</v>
      </c>
      <c r="Y64" s="61"/>
      <c r="Z64" s="189"/>
      <c r="AA64" s="98">
        <v>0</v>
      </c>
      <c r="AB64" s="61">
        <f t="shared" si="91"/>
        <v>0</v>
      </c>
      <c r="AC64" s="98">
        <v>0</v>
      </c>
      <c r="AD64" s="74" t="s">
        <v>25</v>
      </c>
      <c r="AE64" s="61" t="s">
        <v>25</v>
      </c>
      <c r="AF64" s="52" t="s">
        <v>25</v>
      </c>
      <c r="AG64" s="52" t="s">
        <v>25</v>
      </c>
      <c r="AH64" s="76" t="s">
        <v>25</v>
      </c>
      <c r="AI64" s="52" t="s">
        <v>25</v>
      </c>
      <c r="AJ64" s="76">
        <v>-125</v>
      </c>
      <c r="AK64" s="98">
        <v>0</v>
      </c>
      <c r="AL64" s="98">
        <v>0</v>
      </c>
      <c r="AM64" s="98">
        <v>0</v>
      </c>
      <c r="AN64" s="98">
        <v>0</v>
      </c>
      <c r="AO64" s="98">
        <v>0</v>
      </c>
      <c r="AP64" s="98">
        <v>0</v>
      </c>
      <c r="AQ64" s="61"/>
      <c r="AR64" s="61"/>
      <c r="AS64" s="61">
        <f t="shared" si="101"/>
        <v>-125</v>
      </c>
      <c r="AT64" s="61"/>
      <c r="AU64" s="189"/>
      <c r="AV64" s="98">
        <v>0</v>
      </c>
      <c r="AW64" s="206" t="s">
        <v>25</v>
      </c>
      <c r="AX64" s="74" t="s">
        <v>25</v>
      </c>
      <c r="AY64" s="74" t="s">
        <v>25</v>
      </c>
      <c r="AZ64" s="207"/>
      <c r="BA64" s="208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XDW64" s="13"/>
      <c r="XDX64" s="13"/>
      <c r="XDY64" s="13"/>
      <c r="XDZ64" s="13"/>
      <c r="XEA64" s="13"/>
      <c r="XEB64" s="13"/>
      <c r="XEC64" s="13"/>
      <c r="XED64" s="13"/>
      <c r="XEE64" s="13"/>
      <c r="XEF64" s="13"/>
      <c r="XEG64" s="13"/>
      <c r="XEH64" s="13"/>
      <c r="XEI64" s="13"/>
      <c r="XEJ64" s="13"/>
      <c r="XEK64" s="13"/>
      <c r="XEL64" s="13"/>
      <c r="XEM64" s="13"/>
      <c r="XEN64" s="13"/>
      <c r="XEO64" s="13"/>
      <c r="XEP64" s="13"/>
      <c r="XEQ64" s="13"/>
      <c r="XER64" s="13"/>
      <c r="XES64" s="13"/>
      <c r="XET64" s="13"/>
      <c r="XEU64" s="13"/>
      <c r="XEV64" s="13"/>
      <c r="XEW64" s="13"/>
      <c r="XEX64" s="13"/>
      <c r="XEY64" s="13"/>
      <c r="XEZ64" s="13"/>
      <c r="XFA64" s="13"/>
      <c r="XFB64" s="13"/>
      <c r="XFC64" s="13"/>
      <c r="XFD64" s="13"/>
    </row>
    <row r="65" s="1" customFormat="1" ht="25" customHeight="1" collapsed="1" spans="1:16384">
      <c r="A65" s="157"/>
      <c r="B65" s="141"/>
      <c r="C65" s="164">
        <v>22</v>
      </c>
      <c r="D65" s="45" t="s">
        <v>69</v>
      </c>
      <c r="E65" s="47" t="s">
        <v>192</v>
      </c>
      <c r="F65" s="51" t="s">
        <v>195</v>
      </c>
      <c r="G65" s="51" t="s">
        <v>154</v>
      </c>
      <c r="H65" s="51">
        <v>220000</v>
      </c>
      <c r="I65" s="52">
        <v>100000</v>
      </c>
      <c r="J65" s="51">
        <v>110000</v>
      </c>
      <c r="K65" s="77">
        <v>110569</v>
      </c>
      <c r="L65" s="61">
        <v>135398</v>
      </c>
      <c r="M65" s="61">
        <f t="shared" si="94"/>
        <v>-24829</v>
      </c>
      <c r="N65" s="74">
        <f t="shared" ref="N65:N77" si="102">K65/L65-1</f>
        <v>-0.18337789332191</v>
      </c>
      <c r="O65" s="76">
        <v>0</v>
      </c>
      <c r="P65" s="74">
        <f t="shared" ref="P65:P72" si="103">K65/I65</f>
        <v>1.10569</v>
      </c>
      <c r="Q65" s="74">
        <f t="shared" si="88"/>
        <v>0.502586363636364</v>
      </c>
      <c r="R65" s="77">
        <v>9010</v>
      </c>
      <c r="S65" s="77">
        <v>9726</v>
      </c>
      <c r="T65" s="77">
        <v>10306</v>
      </c>
      <c r="U65" s="61">
        <f t="shared" si="95"/>
        <v>119579</v>
      </c>
      <c r="V65" s="61"/>
      <c r="W65" s="61"/>
      <c r="X65" s="61">
        <f t="shared" si="100"/>
        <v>139611</v>
      </c>
      <c r="Y65" s="61">
        <v>140000</v>
      </c>
      <c r="Z65" s="194">
        <v>140000</v>
      </c>
      <c r="AA65" s="61">
        <v>204247</v>
      </c>
      <c r="AB65" s="61">
        <f t="shared" si="91"/>
        <v>-64247</v>
      </c>
      <c r="AC65" s="122">
        <f t="shared" ref="AC65:AC68" si="104">Y65/AA65-1</f>
        <v>-0.31455541574662</v>
      </c>
      <c r="AD65" s="74">
        <f t="shared" ref="AD65:AD68" si="105">Y65/H65</f>
        <v>0.636363636363636</v>
      </c>
      <c r="AE65" s="61">
        <f>K65-J65</f>
        <v>569</v>
      </c>
      <c r="AF65" s="52">
        <v>7000</v>
      </c>
      <c r="AG65" s="52">
        <v>3500</v>
      </c>
      <c r="AH65" s="76">
        <v>7630</v>
      </c>
      <c r="AI65" s="98">
        <v>0</v>
      </c>
      <c r="AJ65" s="77">
        <v>4197</v>
      </c>
      <c r="AK65" s="74">
        <f t="shared" ref="AK65:AK72" si="106">(AJ65-AH65)/ABS(AH65)</f>
        <v>-0.449934469200524</v>
      </c>
      <c r="AL65" s="74">
        <f>AJ65/AG65</f>
        <v>1.19914285714286</v>
      </c>
      <c r="AM65" s="77">
        <v>550</v>
      </c>
      <c r="AN65" s="77">
        <v>-91</v>
      </c>
      <c r="AO65" s="77">
        <v>908</v>
      </c>
      <c r="AP65" s="61">
        <f t="shared" si="97"/>
        <v>4747</v>
      </c>
      <c r="AQ65" s="61"/>
      <c r="AR65" s="61"/>
      <c r="AS65" s="61">
        <f t="shared" si="101"/>
        <v>5564</v>
      </c>
      <c r="AT65" s="61">
        <v>5500</v>
      </c>
      <c r="AU65" s="194">
        <v>5500</v>
      </c>
      <c r="AV65" s="61">
        <v>12689</v>
      </c>
      <c r="AW65" s="206">
        <f t="shared" ref="AW65:AW76" si="107">AT65-AV65</f>
        <v>-7189</v>
      </c>
      <c r="AX65" s="74">
        <f t="shared" si="98"/>
        <v>-0.566553707936008</v>
      </c>
      <c r="AY65" s="74">
        <f>AT65/AF65</f>
        <v>0.785714285714286</v>
      </c>
      <c r="AZ65" s="207"/>
      <c r="BA65" s="208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XDW65" s="13"/>
      <c r="XDX65" s="13"/>
      <c r="XDY65" s="13"/>
      <c r="XDZ65" s="13"/>
      <c r="XEA65" s="13"/>
      <c r="XEB65" s="13"/>
      <c r="XEC65" s="13"/>
      <c r="XED65" s="13"/>
      <c r="XEE65" s="13"/>
      <c r="XEF65" s="13"/>
      <c r="XEG65" s="13"/>
      <c r="XEH65" s="13"/>
      <c r="XEI65" s="13"/>
      <c r="XEJ65" s="13"/>
      <c r="XEK65" s="13"/>
      <c r="XEL65" s="13"/>
      <c r="XEM65" s="13"/>
      <c r="XEN65" s="13"/>
      <c r="XEO65" s="13"/>
      <c r="XEP65" s="13"/>
      <c r="XEQ65" s="13"/>
      <c r="XER65" s="13"/>
      <c r="XES65" s="13"/>
      <c r="XET65" s="13"/>
      <c r="XEU65" s="13"/>
      <c r="XEV65" s="13"/>
      <c r="XEW65" s="13"/>
      <c r="XEX65" s="13"/>
      <c r="XEY65" s="13"/>
      <c r="XEZ65" s="13"/>
      <c r="XFA65" s="13"/>
      <c r="XFB65" s="13"/>
      <c r="XFC65" s="13"/>
      <c r="XFD65" s="13"/>
    </row>
    <row r="66" s="1" customFormat="1" ht="25" customHeight="1" spans="1:16384">
      <c r="A66" s="157"/>
      <c r="B66" s="141"/>
      <c r="C66" s="164">
        <v>23</v>
      </c>
      <c r="D66" s="45" t="s">
        <v>70</v>
      </c>
      <c r="E66" s="47" t="s">
        <v>192</v>
      </c>
      <c r="F66" s="51" t="s">
        <v>195</v>
      </c>
      <c r="G66" s="52" t="s">
        <v>154</v>
      </c>
      <c r="H66" s="51">
        <v>164000</v>
      </c>
      <c r="I66" s="52">
        <v>76000</v>
      </c>
      <c r="J66" s="51">
        <v>78000</v>
      </c>
      <c r="K66" s="76">
        <v>82020</v>
      </c>
      <c r="L66" s="61">
        <v>86102</v>
      </c>
      <c r="M66" s="61">
        <f t="shared" si="94"/>
        <v>-4082</v>
      </c>
      <c r="N66" s="74">
        <f t="shared" si="102"/>
        <v>-0.0474088871338645</v>
      </c>
      <c r="O66" s="76">
        <v>0</v>
      </c>
      <c r="P66" s="74">
        <f t="shared" si="103"/>
        <v>1.07921052631579</v>
      </c>
      <c r="Q66" s="74">
        <f t="shared" si="88"/>
        <v>0.500121951219512</v>
      </c>
      <c r="R66" s="61">
        <v>5490</v>
      </c>
      <c r="S66" s="61">
        <v>3425</v>
      </c>
      <c r="T66" s="61">
        <v>1501</v>
      </c>
      <c r="U66" s="61">
        <f t="shared" si="95"/>
        <v>87510</v>
      </c>
      <c r="V66" s="61"/>
      <c r="W66" s="61"/>
      <c r="X66" s="61">
        <f t="shared" si="100"/>
        <v>92436</v>
      </c>
      <c r="Y66" s="61">
        <v>98000</v>
      </c>
      <c r="Z66" s="194">
        <v>98000</v>
      </c>
      <c r="AA66" s="61">
        <v>113896</v>
      </c>
      <c r="AB66" s="61">
        <f t="shared" si="91"/>
        <v>-15896</v>
      </c>
      <c r="AC66" s="122">
        <f t="shared" si="104"/>
        <v>-0.139565919786472</v>
      </c>
      <c r="AD66" s="74">
        <f t="shared" si="105"/>
        <v>0.597560975609756</v>
      </c>
      <c r="AE66" s="61">
        <f>K66-J66</f>
        <v>4020</v>
      </c>
      <c r="AF66" s="52">
        <f>3600+400</f>
        <v>4000</v>
      </c>
      <c r="AG66" s="52">
        <v>1800</v>
      </c>
      <c r="AH66" s="76">
        <v>1791</v>
      </c>
      <c r="AI66" s="98">
        <v>0</v>
      </c>
      <c r="AJ66" s="76">
        <v>1857</v>
      </c>
      <c r="AK66" s="74">
        <f t="shared" si="106"/>
        <v>0.0368509212730318</v>
      </c>
      <c r="AL66" s="74">
        <f>AJ66/AG66</f>
        <v>1.03166666666667</v>
      </c>
      <c r="AM66" s="61">
        <v>103</v>
      </c>
      <c r="AN66" s="61">
        <v>59</v>
      </c>
      <c r="AO66" s="61">
        <v>35</v>
      </c>
      <c r="AP66" s="61">
        <f t="shared" si="97"/>
        <v>1960</v>
      </c>
      <c r="AQ66" s="61"/>
      <c r="AR66" s="61"/>
      <c r="AS66" s="61">
        <f t="shared" si="101"/>
        <v>2054</v>
      </c>
      <c r="AT66" s="61">
        <v>2400</v>
      </c>
      <c r="AU66" s="194">
        <v>2100</v>
      </c>
      <c r="AV66" s="61">
        <v>2402</v>
      </c>
      <c r="AW66" s="206">
        <f t="shared" si="107"/>
        <v>-2</v>
      </c>
      <c r="AX66" s="74">
        <f t="shared" si="98"/>
        <v>-0.000832639467110741</v>
      </c>
      <c r="AY66" s="74">
        <f>AT66/AF66</f>
        <v>0.6</v>
      </c>
      <c r="AZ66" s="207"/>
      <c r="BA66" s="208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XDW66" s="13"/>
      <c r="XDX66" s="13"/>
      <c r="XDY66" s="13"/>
      <c r="XDZ66" s="13"/>
      <c r="XEA66" s="13"/>
      <c r="XEB66" s="13"/>
      <c r="XEC66" s="13"/>
      <c r="XED66" s="13"/>
      <c r="XEE66" s="13"/>
      <c r="XEF66" s="13"/>
      <c r="XEG66" s="13"/>
      <c r="XEH66" s="13"/>
      <c r="XEI66" s="13"/>
      <c r="XEJ66" s="13"/>
      <c r="XEK66" s="13"/>
      <c r="XEL66" s="13"/>
      <c r="XEM66" s="13"/>
      <c r="XEN66" s="13"/>
      <c r="XEO66" s="13"/>
      <c r="XEP66" s="13"/>
      <c r="XEQ66" s="13"/>
      <c r="XER66" s="13"/>
      <c r="XES66" s="13"/>
      <c r="XET66" s="13"/>
      <c r="XEU66" s="13"/>
      <c r="XEV66" s="13"/>
      <c r="XEW66" s="13"/>
      <c r="XEX66" s="13"/>
      <c r="XEY66" s="13"/>
      <c r="XEZ66" s="13"/>
      <c r="XFA66" s="13"/>
      <c r="XFB66" s="13"/>
      <c r="XFC66" s="13"/>
      <c r="XFD66" s="13"/>
    </row>
    <row r="67" s="1" customFormat="1" ht="25" customHeight="1" spans="1:16384">
      <c r="A67" s="157"/>
      <c r="B67" s="141"/>
      <c r="C67" s="164">
        <v>24</v>
      </c>
      <c r="D67" s="45" t="s">
        <v>122</v>
      </c>
      <c r="E67" s="47" t="s">
        <v>192</v>
      </c>
      <c r="F67" s="51" t="s">
        <v>159</v>
      </c>
      <c r="G67" s="52" t="s">
        <v>154</v>
      </c>
      <c r="H67" s="51">
        <v>5600</v>
      </c>
      <c r="I67" s="52">
        <v>2300</v>
      </c>
      <c r="J67" s="79">
        <v>0</v>
      </c>
      <c r="K67" s="76">
        <v>2677</v>
      </c>
      <c r="L67" s="61">
        <v>1567</v>
      </c>
      <c r="M67" s="61">
        <f t="shared" si="94"/>
        <v>1110</v>
      </c>
      <c r="N67" s="74">
        <f t="shared" si="102"/>
        <v>0.708359923420549</v>
      </c>
      <c r="O67" s="76">
        <v>0</v>
      </c>
      <c r="P67" s="74">
        <f t="shared" si="103"/>
        <v>1.16391304347826</v>
      </c>
      <c r="Q67" s="74">
        <f t="shared" si="88"/>
        <v>0.478035714285714</v>
      </c>
      <c r="R67" s="61">
        <v>200</v>
      </c>
      <c r="S67" s="61">
        <v>220</v>
      </c>
      <c r="T67" s="61">
        <v>220</v>
      </c>
      <c r="U67" s="61">
        <f t="shared" si="95"/>
        <v>2877</v>
      </c>
      <c r="V67" s="61"/>
      <c r="W67" s="61"/>
      <c r="X67" s="61">
        <f t="shared" si="100"/>
        <v>3317</v>
      </c>
      <c r="Y67" s="61">
        <v>3100</v>
      </c>
      <c r="Z67" s="194">
        <v>3100</v>
      </c>
      <c r="AA67" s="61">
        <v>2667</v>
      </c>
      <c r="AB67" s="61">
        <f t="shared" si="91"/>
        <v>433</v>
      </c>
      <c r="AC67" s="122">
        <f t="shared" si="104"/>
        <v>0.162354705661792</v>
      </c>
      <c r="AD67" s="74">
        <f t="shared" si="105"/>
        <v>0.553571428571429</v>
      </c>
      <c r="AE67" s="61"/>
      <c r="AF67" s="52">
        <v>100</v>
      </c>
      <c r="AG67" s="52">
        <v>-300</v>
      </c>
      <c r="AH67" s="76">
        <v>-365</v>
      </c>
      <c r="AI67" s="98">
        <v>0</v>
      </c>
      <c r="AJ67" s="76">
        <v>-421</v>
      </c>
      <c r="AK67" s="74">
        <f t="shared" si="106"/>
        <v>-0.153424657534247</v>
      </c>
      <c r="AL67" s="74" t="s">
        <v>25</v>
      </c>
      <c r="AM67" s="61">
        <v>-50</v>
      </c>
      <c r="AN67" s="61">
        <v>-40</v>
      </c>
      <c r="AO67" s="61">
        <v>-40</v>
      </c>
      <c r="AP67" s="61">
        <f t="shared" si="97"/>
        <v>-471</v>
      </c>
      <c r="AQ67" s="61"/>
      <c r="AR67" s="61"/>
      <c r="AS67" s="61">
        <f t="shared" si="101"/>
        <v>-551</v>
      </c>
      <c r="AT67" s="61">
        <v>-600</v>
      </c>
      <c r="AU67" s="189">
        <v>-600</v>
      </c>
      <c r="AV67" s="61">
        <v>-466</v>
      </c>
      <c r="AW67" s="206">
        <f t="shared" si="107"/>
        <v>-134</v>
      </c>
      <c r="AX67" s="74">
        <f t="shared" si="98"/>
        <v>-0.28755364806867</v>
      </c>
      <c r="AY67" s="74" t="s">
        <v>25</v>
      </c>
      <c r="AZ67" s="207"/>
      <c r="BA67" s="208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XDW67" s="13"/>
      <c r="XDX67" s="13"/>
      <c r="XDY67" s="13"/>
      <c r="XDZ67" s="13"/>
      <c r="XEA67" s="13"/>
      <c r="XEB67" s="13"/>
      <c r="XEC67" s="13"/>
      <c r="XED67" s="13"/>
      <c r="XEE67" s="13"/>
      <c r="XEF67" s="13"/>
      <c r="XEG67" s="13"/>
      <c r="XEH67" s="13"/>
      <c r="XEI67" s="13"/>
      <c r="XEJ67" s="13"/>
      <c r="XEK67" s="13"/>
      <c r="XEL67" s="13"/>
      <c r="XEM67" s="13"/>
      <c r="XEN67" s="13"/>
      <c r="XEO67" s="13"/>
      <c r="XEP67" s="13"/>
      <c r="XEQ67" s="13"/>
      <c r="XER67" s="13"/>
      <c r="XES67" s="13"/>
      <c r="XET67" s="13"/>
      <c r="XEU67" s="13"/>
      <c r="XEV67" s="13"/>
      <c r="XEW67" s="13"/>
      <c r="XEX67" s="13"/>
      <c r="XEY67" s="13"/>
      <c r="XEZ67" s="13"/>
      <c r="XFA67" s="13"/>
      <c r="XFB67" s="13"/>
      <c r="XFC67" s="13"/>
      <c r="XFD67" s="13"/>
    </row>
    <row r="68" s="3" customFormat="1" ht="25" hidden="1" customHeight="1" outlineLevel="1" spans="1:16384">
      <c r="A68" s="157" t="s">
        <v>196</v>
      </c>
      <c r="B68" s="141"/>
      <c r="C68" s="168"/>
      <c r="D68" s="169" t="s">
        <v>156</v>
      </c>
      <c r="E68" s="170"/>
      <c r="F68" s="171"/>
      <c r="G68" s="170"/>
      <c r="H68" s="170">
        <f t="shared" ref="H68:L68" si="108">SUM(H69:H77)-H73-H74</f>
        <v>165100</v>
      </c>
      <c r="I68" s="170">
        <f t="shared" si="108"/>
        <v>84590</v>
      </c>
      <c r="J68" s="181">
        <v>0</v>
      </c>
      <c r="K68" s="170">
        <f t="shared" si="108"/>
        <v>75947</v>
      </c>
      <c r="L68" s="170">
        <f t="shared" si="108"/>
        <v>109748</v>
      </c>
      <c r="M68" s="170"/>
      <c r="N68" s="179">
        <f t="shared" si="102"/>
        <v>-0.307987389291832</v>
      </c>
      <c r="O68" s="179"/>
      <c r="P68" s="179">
        <f t="shared" si="103"/>
        <v>0.89782480198605</v>
      </c>
      <c r="Q68" s="188">
        <f t="shared" ref="Q68:Q84" si="109">K68/H68</f>
        <v>0.460006056935191</v>
      </c>
      <c r="R68" s="170">
        <f t="shared" ref="R68:U68" si="110">SUM(R69:R77)-R73-R74</f>
        <v>12179</v>
      </c>
      <c r="S68" s="170">
        <f t="shared" si="110"/>
        <v>13328</v>
      </c>
      <c r="T68" s="170">
        <f t="shared" si="110"/>
        <v>13668</v>
      </c>
      <c r="U68" s="170">
        <f t="shared" si="110"/>
        <v>88126</v>
      </c>
      <c r="V68" s="189"/>
      <c r="W68" s="189"/>
      <c r="X68" s="170">
        <f>SUM(X69:X77)-X73-X74</f>
        <v>115122</v>
      </c>
      <c r="Y68" s="170">
        <f>SUM(Y69:Y77)-Y73-Y74</f>
        <v>115000</v>
      </c>
      <c r="Z68" s="170">
        <f>SUM(Z69:Z77)-Z73-Z74</f>
        <v>115000</v>
      </c>
      <c r="AA68" s="170">
        <f>SUM(AA69:AA77)-AA73-AA74</f>
        <v>143357</v>
      </c>
      <c r="AB68" s="170">
        <f t="shared" si="91"/>
        <v>-28357</v>
      </c>
      <c r="AC68" s="179">
        <f t="shared" si="104"/>
        <v>-0.197806873748753</v>
      </c>
      <c r="AD68" s="179">
        <f t="shared" si="105"/>
        <v>0.696547546941248</v>
      </c>
      <c r="AE68" s="189">
        <f>AE72+AE77</f>
        <v>-10518</v>
      </c>
      <c r="AF68" s="170">
        <f t="shared" ref="AF68:AH68" si="111">SUM(AF69:AF77)-AF73-AF74</f>
        <v>10130</v>
      </c>
      <c r="AG68" s="170">
        <f t="shared" si="111"/>
        <v>5930</v>
      </c>
      <c r="AH68" s="170">
        <f t="shared" si="111"/>
        <v>3203</v>
      </c>
      <c r="AI68" s="170" t="s">
        <v>25</v>
      </c>
      <c r="AJ68" s="182">
        <f t="shared" ref="AJ68:AP68" si="112">SUM(AJ69:AJ77)-AJ73-AJ74</f>
        <v>7048</v>
      </c>
      <c r="AK68" s="179">
        <f t="shared" si="106"/>
        <v>1.20043709022791</v>
      </c>
      <c r="AL68" s="179">
        <f>AJ68/AG68</f>
        <v>1.1885328836425</v>
      </c>
      <c r="AM68" s="170">
        <f t="shared" si="112"/>
        <v>599</v>
      </c>
      <c r="AN68" s="170">
        <f t="shared" si="112"/>
        <v>207</v>
      </c>
      <c r="AO68" s="170">
        <f t="shared" si="112"/>
        <v>152</v>
      </c>
      <c r="AP68" s="170">
        <f t="shared" si="112"/>
        <v>7647</v>
      </c>
      <c r="AQ68" s="189"/>
      <c r="AR68" s="189"/>
      <c r="AS68" s="170">
        <f>SUM(AS69:AS77)-AS73-AS74</f>
        <v>8006</v>
      </c>
      <c r="AT68" s="170">
        <f>SUM(AT69:AT77)-AT73-AT74</f>
        <v>8750</v>
      </c>
      <c r="AU68" s="170">
        <f>SUM(AU69:AU77)-AU73-AU74</f>
        <v>8200</v>
      </c>
      <c r="AV68" s="170">
        <f>SUM(AV69:AV77)-AV73-AV74</f>
        <v>5997</v>
      </c>
      <c r="AW68" s="212">
        <f t="shared" si="107"/>
        <v>2753</v>
      </c>
      <c r="AX68" s="179">
        <f>AS68/AV68-1</f>
        <v>0.335000833750208</v>
      </c>
      <c r="AY68" s="179">
        <f>AJ68/AF68</f>
        <v>0.695755182625864</v>
      </c>
      <c r="AZ68" s="216"/>
      <c r="BA68" s="217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XDW68" s="107"/>
      <c r="XDX68" s="107"/>
      <c r="XDY68" s="107"/>
      <c r="XDZ68" s="107"/>
      <c r="XEA68" s="107"/>
      <c r="XEB68" s="107"/>
      <c r="XEC68" s="107"/>
      <c r="XED68" s="107"/>
      <c r="XEE68" s="107"/>
      <c r="XEF68" s="107"/>
      <c r="XEG68" s="107"/>
      <c r="XEH68" s="107"/>
      <c r="XEI68" s="107"/>
      <c r="XEJ68" s="107"/>
      <c r="XEK68" s="107"/>
      <c r="XEL68" s="107"/>
      <c r="XEM68" s="107"/>
      <c r="XEN68" s="107"/>
      <c r="XEO68" s="107"/>
      <c r="XEP68" s="107"/>
      <c r="XEQ68" s="107"/>
      <c r="XER68" s="107"/>
      <c r="XES68" s="107"/>
      <c r="XET68" s="107"/>
      <c r="XEU68" s="107"/>
      <c r="XEV68" s="107"/>
      <c r="XEW68" s="107"/>
      <c r="XEX68" s="107"/>
      <c r="XEY68" s="107"/>
      <c r="XEZ68" s="107"/>
      <c r="XFA68" s="107"/>
      <c r="XFB68" s="107"/>
      <c r="XFC68" s="107"/>
      <c r="XFD68" s="107"/>
    </row>
    <row r="69" s="1" customFormat="1" ht="25" customHeight="1" collapsed="1" spans="1:16384">
      <c r="A69" s="157"/>
      <c r="B69" s="141"/>
      <c r="C69" s="164">
        <v>25</v>
      </c>
      <c r="D69" s="45" t="s">
        <v>76</v>
      </c>
      <c r="E69" s="42" t="s">
        <v>197</v>
      </c>
      <c r="F69" s="51" t="s">
        <v>159</v>
      </c>
      <c r="G69" s="52" t="s">
        <v>154</v>
      </c>
      <c r="H69" s="51">
        <v>15000</v>
      </c>
      <c r="I69" s="52">
        <v>6000</v>
      </c>
      <c r="J69" s="79">
        <v>0</v>
      </c>
      <c r="K69" s="76">
        <v>6787</v>
      </c>
      <c r="L69" s="61">
        <v>4153</v>
      </c>
      <c r="M69" s="61">
        <f t="shared" ref="M69:M84" si="113">K69-L69</f>
        <v>2634</v>
      </c>
      <c r="N69" s="74">
        <f t="shared" si="102"/>
        <v>0.634240308210932</v>
      </c>
      <c r="O69" s="74"/>
      <c r="P69" s="74">
        <f t="shared" si="103"/>
        <v>1.13116666666667</v>
      </c>
      <c r="Q69" s="74">
        <f t="shared" si="109"/>
        <v>0.452466666666667</v>
      </c>
      <c r="R69" s="61">
        <v>1600</v>
      </c>
      <c r="S69" s="61">
        <v>1500</v>
      </c>
      <c r="T69" s="61">
        <v>1600</v>
      </c>
      <c r="U69" s="61">
        <f t="shared" ref="U69:U84" si="114">K69+R69</f>
        <v>8387</v>
      </c>
      <c r="V69" s="61"/>
      <c r="W69" s="61"/>
      <c r="X69" s="61">
        <f>K69+R69+S69+T69</f>
        <v>11487</v>
      </c>
      <c r="Y69" s="61">
        <v>11000</v>
      </c>
      <c r="Z69" s="194">
        <v>11000</v>
      </c>
      <c r="AA69" s="61">
        <v>5870</v>
      </c>
      <c r="AB69" s="61">
        <f t="shared" si="91"/>
        <v>5130</v>
      </c>
      <c r="AC69" s="122">
        <f t="shared" ref="AC69:AC84" si="115">Y69/AA69-1</f>
        <v>0.873935264054514</v>
      </c>
      <c r="AD69" s="74">
        <f t="shared" ref="AD69:AD84" si="116">Y69/H69</f>
        <v>0.733333333333333</v>
      </c>
      <c r="AE69" s="61"/>
      <c r="AF69" s="52">
        <v>550</v>
      </c>
      <c r="AG69" s="52">
        <v>-200</v>
      </c>
      <c r="AH69" s="76">
        <v>-186</v>
      </c>
      <c r="AI69" s="98">
        <v>0</v>
      </c>
      <c r="AJ69" s="76">
        <v>-221</v>
      </c>
      <c r="AK69" s="74">
        <f t="shared" si="106"/>
        <v>-0.188172043010753</v>
      </c>
      <c r="AL69" s="74" t="s">
        <v>25</v>
      </c>
      <c r="AM69" s="61">
        <v>30</v>
      </c>
      <c r="AN69" s="61">
        <v>20</v>
      </c>
      <c r="AO69" s="61">
        <v>30</v>
      </c>
      <c r="AP69" s="61">
        <f t="shared" ref="AP69:AP84" si="117">AJ69+AM69</f>
        <v>-191</v>
      </c>
      <c r="AQ69" s="61"/>
      <c r="AR69" s="61"/>
      <c r="AS69" s="61">
        <f>AJ69+AM69+AN69+AO69</f>
        <v>-141</v>
      </c>
      <c r="AT69" s="61">
        <v>60</v>
      </c>
      <c r="AU69" s="189">
        <v>-90</v>
      </c>
      <c r="AV69" s="61">
        <v>-440</v>
      </c>
      <c r="AW69" s="206">
        <f t="shared" si="107"/>
        <v>500</v>
      </c>
      <c r="AX69" s="74">
        <f t="shared" ref="AX69:AX84" si="118">(AT69-AV69)/ABS(AV69)</f>
        <v>1.13636363636364</v>
      </c>
      <c r="AY69" s="74">
        <f>AT69/AF69</f>
        <v>0.109090909090909</v>
      </c>
      <c r="AZ69" s="207"/>
      <c r="BA69" s="208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XDW69" s="13"/>
      <c r="XDX69" s="13"/>
      <c r="XDY69" s="13"/>
      <c r="XDZ69" s="13"/>
      <c r="XEA69" s="13"/>
      <c r="XEB69" s="13"/>
      <c r="XEC69" s="13"/>
      <c r="XED69" s="13"/>
      <c r="XEE69" s="13"/>
      <c r="XEF69" s="13"/>
      <c r="XEG69" s="13"/>
      <c r="XEH69" s="13"/>
      <c r="XEI69" s="13"/>
      <c r="XEJ69" s="13"/>
      <c r="XEK69" s="13"/>
      <c r="XEL69" s="13"/>
      <c r="XEM69" s="13"/>
      <c r="XEN69" s="13"/>
      <c r="XEO69" s="13"/>
      <c r="XEP69" s="13"/>
      <c r="XEQ69" s="13"/>
      <c r="XER69" s="13"/>
      <c r="XES69" s="13"/>
      <c r="XET69" s="13"/>
      <c r="XEU69" s="13"/>
      <c r="XEV69" s="13"/>
      <c r="XEW69" s="13"/>
      <c r="XEX69" s="13"/>
      <c r="XEY69" s="13"/>
      <c r="XEZ69" s="13"/>
      <c r="XFA69" s="13"/>
      <c r="XFB69" s="13"/>
      <c r="XFC69" s="13"/>
      <c r="XFD69" s="13"/>
    </row>
    <row r="70" s="1" customFormat="1" ht="25" customHeight="1" spans="1:16384">
      <c r="A70" s="157"/>
      <c r="B70" s="141"/>
      <c r="C70" s="164">
        <v>26</v>
      </c>
      <c r="D70" s="45" t="s">
        <v>81</v>
      </c>
      <c r="E70" s="42" t="s">
        <v>197</v>
      </c>
      <c r="F70" s="52"/>
      <c r="G70" s="51" t="s">
        <v>154</v>
      </c>
      <c r="H70" s="51">
        <v>10000</v>
      </c>
      <c r="I70" s="52">
        <v>4000</v>
      </c>
      <c r="J70" s="79">
        <v>0</v>
      </c>
      <c r="K70" s="76">
        <v>4927</v>
      </c>
      <c r="L70" s="61">
        <v>7801</v>
      </c>
      <c r="M70" s="61">
        <f t="shared" si="113"/>
        <v>-2874</v>
      </c>
      <c r="N70" s="74">
        <f t="shared" si="102"/>
        <v>-0.368414305858223</v>
      </c>
      <c r="O70" s="74"/>
      <c r="P70" s="74">
        <f t="shared" si="103"/>
        <v>1.23175</v>
      </c>
      <c r="Q70" s="74">
        <f t="shared" si="109"/>
        <v>0.4927</v>
      </c>
      <c r="R70" s="61">
        <v>680</v>
      </c>
      <c r="S70" s="61">
        <v>650</v>
      </c>
      <c r="T70" s="61">
        <v>880</v>
      </c>
      <c r="U70" s="61">
        <f t="shared" si="114"/>
        <v>5607</v>
      </c>
      <c r="V70" s="61"/>
      <c r="W70" s="61"/>
      <c r="X70" s="61">
        <f t="shared" ref="X70:X84" si="119">K70+R70+S70+T70</f>
        <v>7137</v>
      </c>
      <c r="Y70" s="61">
        <v>7000</v>
      </c>
      <c r="Z70" s="194">
        <v>7000</v>
      </c>
      <c r="AA70" s="61">
        <v>11934</v>
      </c>
      <c r="AB70" s="61">
        <f t="shared" si="91"/>
        <v>-4934</v>
      </c>
      <c r="AC70" s="122">
        <f t="shared" si="115"/>
        <v>-0.413440589911178</v>
      </c>
      <c r="AD70" s="74">
        <f t="shared" si="116"/>
        <v>0.7</v>
      </c>
      <c r="AE70" s="61"/>
      <c r="AF70" s="52">
        <f>-400+400</f>
        <v>0</v>
      </c>
      <c r="AG70" s="52">
        <v>-150</v>
      </c>
      <c r="AH70" s="76">
        <v>37</v>
      </c>
      <c r="AI70" s="98">
        <v>0</v>
      </c>
      <c r="AJ70" s="76">
        <v>-25</v>
      </c>
      <c r="AK70" s="74">
        <f t="shared" si="106"/>
        <v>-1.67567567567568</v>
      </c>
      <c r="AL70" s="74" t="s">
        <v>25</v>
      </c>
      <c r="AM70" s="61">
        <v>-40</v>
      </c>
      <c r="AN70" s="61">
        <v>-30</v>
      </c>
      <c r="AO70" s="61">
        <v>-100</v>
      </c>
      <c r="AP70" s="61">
        <f t="shared" si="117"/>
        <v>-65</v>
      </c>
      <c r="AQ70" s="61"/>
      <c r="AR70" s="61"/>
      <c r="AS70" s="61">
        <f t="shared" ref="AS70:AS84" si="120">AJ70+AM70+AN70+AO70</f>
        <v>-195</v>
      </c>
      <c r="AT70" s="61">
        <v>-200</v>
      </c>
      <c r="AU70" s="194">
        <v>-200</v>
      </c>
      <c r="AV70" s="61">
        <v>-417</v>
      </c>
      <c r="AW70" s="206">
        <f t="shared" si="107"/>
        <v>217</v>
      </c>
      <c r="AX70" s="74">
        <f t="shared" si="118"/>
        <v>0.520383693045564</v>
      </c>
      <c r="AY70" s="74" t="s">
        <v>25</v>
      </c>
      <c r="AZ70" s="207"/>
      <c r="BA70" s="208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XDW70" s="13"/>
      <c r="XDX70" s="13"/>
      <c r="XDY70" s="13"/>
      <c r="XDZ70" s="13"/>
      <c r="XEA70" s="13"/>
      <c r="XEB70" s="13"/>
      <c r="XEC70" s="13"/>
      <c r="XED70" s="13"/>
      <c r="XEE70" s="13"/>
      <c r="XEF70" s="13"/>
      <c r="XEG70" s="13"/>
      <c r="XEH70" s="13"/>
      <c r="XEI70" s="13"/>
      <c r="XEJ70" s="13"/>
      <c r="XEK70" s="13"/>
      <c r="XEL70" s="13"/>
      <c r="XEM70" s="13"/>
      <c r="XEN70" s="13"/>
      <c r="XEO70" s="13"/>
      <c r="XEP70" s="13"/>
      <c r="XEQ70" s="13"/>
      <c r="XER70" s="13"/>
      <c r="XES70" s="13"/>
      <c r="XET70" s="13"/>
      <c r="XEU70" s="13"/>
      <c r="XEV70" s="13"/>
      <c r="XEW70" s="13"/>
      <c r="XEX70" s="13"/>
      <c r="XEY70" s="13"/>
      <c r="XEZ70" s="13"/>
      <c r="XFA70" s="13"/>
      <c r="XFB70" s="13"/>
      <c r="XFC70" s="13"/>
      <c r="XFD70" s="13"/>
    </row>
    <row r="71" s="6" customFormat="1" ht="25" customHeight="1" spans="1:16384">
      <c r="A71" s="166"/>
      <c r="B71" s="167"/>
      <c r="C71" s="164">
        <v>27</v>
      </c>
      <c r="D71" s="56" t="s">
        <v>82</v>
      </c>
      <c r="E71" s="42" t="s">
        <v>197</v>
      </c>
      <c r="F71" s="52"/>
      <c r="G71" s="52" t="s">
        <v>154</v>
      </c>
      <c r="H71" s="51">
        <v>3000</v>
      </c>
      <c r="I71" s="52">
        <v>1600</v>
      </c>
      <c r="J71" s="79">
        <v>0</v>
      </c>
      <c r="K71" s="76">
        <v>1611</v>
      </c>
      <c r="L71" s="61">
        <v>1201</v>
      </c>
      <c r="M71" s="61">
        <f t="shared" si="113"/>
        <v>410</v>
      </c>
      <c r="N71" s="74">
        <f t="shared" si="102"/>
        <v>0.341382181515404</v>
      </c>
      <c r="O71" s="74"/>
      <c r="P71" s="74">
        <f t="shared" si="103"/>
        <v>1.006875</v>
      </c>
      <c r="Q71" s="74">
        <f t="shared" si="109"/>
        <v>0.537</v>
      </c>
      <c r="R71" s="61">
        <v>200</v>
      </c>
      <c r="S71" s="61">
        <v>180</v>
      </c>
      <c r="T71" s="61">
        <v>190</v>
      </c>
      <c r="U71" s="61">
        <f t="shared" si="114"/>
        <v>1811</v>
      </c>
      <c r="V71" s="61"/>
      <c r="W71" s="61"/>
      <c r="X71" s="61">
        <f t="shared" si="119"/>
        <v>2181</v>
      </c>
      <c r="Y71" s="61">
        <v>2200</v>
      </c>
      <c r="Z71" s="194">
        <v>2200</v>
      </c>
      <c r="AA71" s="61">
        <v>1740</v>
      </c>
      <c r="AB71" s="61">
        <f t="shared" si="91"/>
        <v>460</v>
      </c>
      <c r="AC71" s="122">
        <f t="shared" si="115"/>
        <v>0.264367816091954</v>
      </c>
      <c r="AD71" s="74">
        <f t="shared" si="116"/>
        <v>0.733333333333333</v>
      </c>
      <c r="AE71" s="61"/>
      <c r="AF71" s="52">
        <v>180</v>
      </c>
      <c r="AG71" s="52">
        <v>90</v>
      </c>
      <c r="AH71" s="76">
        <v>66</v>
      </c>
      <c r="AI71" s="98">
        <v>0</v>
      </c>
      <c r="AJ71" s="76">
        <v>90</v>
      </c>
      <c r="AK71" s="74">
        <f t="shared" si="106"/>
        <v>0.363636363636364</v>
      </c>
      <c r="AL71" s="74">
        <f>AJ71/AG71</f>
        <v>1</v>
      </c>
      <c r="AM71" s="61">
        <v>13</v>
      </c>
      <c r="AN71" s="61">
        <v>12</v>
      </c>
      <c r="AO71" s="61">
        <v>12</v>
      </c>
      <c r="AP71" s="61">
        <f t="shared" si="117"/>
        <v>103</v>
      </c>
      <c r="AQ71" s="61"/>
      <c r="AR71" s="61"/>
      <c r="AS71" s="61">
        <f t="shared" si="120"/>
        <v>127</v>
      </c>
      <c r="AT71" s="61">
        <v>130</v>
      </c>
      <c r="AU71" s="194">
        <v>130</v>
      </c>
      <c r="AV71" s="61">
        <f>377-279</f>
        <v>98</v>
      </c>
      <c r="AW71" s="206">
        <f t="shared" si="107"/>
        <v>32</v>
      </c>
      <c r="AX71" s="74">
        <f t="shared" si="118"/>
        <v>0.326530612244898</v>
      </c>
      <c r="AY71" s="74">
        <f>AT71/AF71</f>
        <v>0.722222222222222</v>
      </c>
      <c r="AZ71" s="207"/>
      <c r="BA71" s="208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106"/>
      <c r="CO71" s="106"/>
      <c r="CP71" s="106"/>
      <c r="CQ71" s="106"/>
      <c r="CR71" s="106"/>
      <c r="CS71" s="106"/>
      <c r="CT71" s="106"/>
      <c r="CU71" s="106"/>
      <c r="CV71" s="106"/>
      <c r="CW71" s="106"/>
      <c r="CX71" s="106"/>
      <c r="CY71" s="106"/>
      <c r="CZ71" s="106"/>
      <c r="DA71" s="106"/>
      <c r="DB71" s="106"/>
      <c r="DC71" s="106"/>
      <c r="DD71" s="106"/>
      <c r="DE71" s="106"/>
      <c r="DF71" s="106"/>
      <c r="DG71" s="106"/>
      <c r="DH71" s="106"/>
      <c r="DI71" s="106"/>
      <c r="DJ71" s="106"/>
      <c r="DK71" s="106"/>
      <c r="DL71" s="106"/>
      <c r="DM71" s="106"/>
      <c r="DN71" s="106"/>
      <c r="DO71" s="106"/>
      <c r="DP71" s="106"/>
      <c r="DQ71" s="106"/>
      <c r="DR71" s="106"/>
      <c r="DS71" s="106"/>
      <c r="DT71" s="106"/>
      <c r="DU71" s="106"/>
      <c r="DV71" s="106"/>
      <c r="DW71" s="106"/>
      <c r="DX71" s="106"/>
      <c r="DY71" s="106"/>
      <c r="DZ71" s="106"/>
      <c r="EA71" s="106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6"/>
      <c r="FF71" s="106"/>
      <c r="FG71" s="106"/>
      <c r="FH71" s="106"/>
      <c r="FI71" s="106"/>
      <c r="FJ71" s="106"/>
      <c r="FK71" s="106"/>
      <c r="FL71" s="106"/>
      <c r="FM71" s="106"/>
      <c r="FN71" s="106"/>
      <c r="FO71" s="106"/>
      <c r="FP71" s="106"/>
      <c r="FQ71" s="106"/>
      <c r="FR71" s="106"/>
      <c r="FS71" s="106"/>
      <c r="FT71" s="106"/>
      <c r="FU71" s="106"/>
      <c r="FV71" s="106"/>
      <c r="FW71" s="106"/>
      <c r="FX71" s="106"/>
      <c r="FY71" s="106"/>
      <c r="FZ71" s="106"/>
      <c r="GA71" s="106"/>
      <c r="GB71" s="106"/>
      <c r="GC71" s="106"/>
      <c r="GD71" s="106"/>
      <c r="GE71" s="106"/>
      <c r="GF71" s="106"/>
      <c r="GG71" s="106"/>
      <c r="GH71" s="106"/>
      <c r="GI71" s="106"/>
      <c r="GJ71" s="106"/>
      <c r="GK71" s="106"/>
      <c r="GL71" s="106"/>
      <c r="GM71" s="106"/>
      <c r="GN71" s="106"/>
      <c r="GO71" s="106"/>
      <c r="GP71" s="106"/>
      <c r="GQ71" s="106"/>
      <c r="GR71" s="106"/>
      <c r="GS71" s="106"/>
      <c r="GT71" s="106"/>
      <c r="GU71" s="106"/>
      <c r="GV71" s="106"/>
      <c r="GW71" s="106"/>
      <c r="GX71" s="106"/>
      <c r="GY71" s="106"/>
      <c r="GZ71" s="106"/>
      <c r="HA71" s="106"/>
      <c r="HB71" s="106"/>
      <c r="HC71" s="106"/>
      <c r="HD71" s="106"/>
      <c r="HE71" s="106"/>
      <c r="HF71" s="106"/>
      <c r="HG71" s="106"/>
      <c r="HH71" s="106"/>
      <c r="HI71" s="106"/>
      <c r="HJ71" s="106"/>
      <c r="HK71" s="106"/>
      <c r="HL71" s="106"/>
      <c r="HM71" s="106"/>
      <c r="HN71" s="106"/>
      <c r="HO71" s="106"/>
      <c r="HP71" s="106"/>
      <c r="HQ71" s="106"/>
      <c r="HR71" s="106"/>
      <c r="HS71" s="106"/>
      <c r="HT71" s="106"/>
      <c r="HU71" s="106"/>
      <c r="HV71" s="106"/>
      <c r="HW71" s="106"/>
      <c r="HX71" s="106"/>
      <c r="HY71" s="106"/>
      <c r="HZ71" s="106"/>
      <c r="IA71" s="106"/>
      <c r="IB71" s="106"/>
      <c r="IC71" s="106"/>
      <c r="ID71" s="106"/>
      <c r="IE71" s="106"/>
      <c r="IF71" s="106"/>
      <c r="IG71" s="106"/>
      <c r="IH71" s="106"/>
      <c r="II71" s="106"/>
      <c r="IJ71" s="106"/>
      <c r="IK71" s="106"/>
      <c r="IL71" s="106"/>
      <c r="XDW71" s="108"/>
      <c r="XDX71" s="108"/>
      <c r="XDY71" s="108"/>
      <c r="XDZ71" s="108"/>
      <c r="XEA71" s="108"/>
      <c r="XEB71" s="108"/>
      <c r="XEC71" s="108"/>
      <c r="XED71" s="108"/>
      <c r="XEE71" s="108"/>
      <c r="XEF71" s="108"/>
      <c r="XEG71" s="108"/>
      <c r="XEH71" s="108"/>
      <c r="XEI71" s="108"/>
      <c r="XEJ71" s="108"/>
      <c r="XEK71" s="108"/>
      <c r="XEL71" s="108"/>
      <c r="XEM71" s="108"/>
      <c r="XEN71" s="108"/>
      <c r="XEO71" s="108"/>
      <c r="XEP71" s="108"/>
      <c r="XEQ71" s="108"/>
      <c r="XER71" s="108"/>
      <c r="XES71" s="108"/>
      <c r="XET71" s="108"/>
      <c r="XEU71" s="108"/>
      <c r="XEV71" s="108"/>
      <c r="XEW71" s="108"/>
      <c r="XEX71" s="108"/>
      <c r="XEY71" s="108"/>
      <c r="XEZ71" s="108"/>
      <c r="XFA71" s="108"/>
      <c r="XFB71" s="108"/>
      <c r="XFC71" s="108"/>
      <c r="XFD71" s="108"/>
    </row>
    <row r="72" s="1" customFormat="1" ht="25" customHeight="1" spans="1:16384">
      <c r="A72" s="157"/>
      <c r="B72" s="141"/>
      <c r="C72" s="164">
        <v>28</v>
      </c>
      <c r="D72" s="45" t="s">
        <v>75</v>
      </c>
      <c r="E72" s="42" t="s">
        <v>197</v>
      </c>
      <c r="F72" s="51" t="s">
        <v>180</v>
      </c>
      <c r="G72" s="52" t="s">
        <v>154</v>
      </c>
      <c r="H72" s="51">
        <v>120000</v>
      </c>
      <c r="I72" s="52">
        <v>64000</v>
      </c>
      <c r="J72" s="79">
        <v>0</v>
      </c>
      <c r="K72" s="76">
        <v>53522</v>
      </c>
      <c r="L72" s="61">
        <v>87770</v>
      </c>
      <c r="M72" s="61">
        <f t="shared" si="113"/>
        <v>-34248</v>
      </c>
      <c r="N72" s="74">
        <f t="shared" si="102"/>
        <v>-0.390201663438533</v>
      </c>
      <c r="O72" s="74"/>
      <c r="P72" s="74">
        <f t="shared" si="103"/>
        <v>0.83628125</v>
      </c>
      <c r="Q72" s="74">
        <f t="shared" si="109"/>
        <v>0.446016666666667</v>
      </c>
      <c r="R72" s="61">
        <v>8000</v>
      </c>
      <c r="S72" s="61">
        <v>10000</v>
      </c>
      <c r="T72" s="61">
        <v>10000</v>
      </c>
      <c r="U72" s="61">
        <f t="shared" si="114"/>
        <v>61522</v>
      </c>
      <c r="V72" s="61"/>
      <c r="W72" s="61"/>
      <c r="X72" s="61">
        <f t="shared" si="119"/>
        <v>81522</v>
      </c>
      <c r="Y72" s="61">
        <v>82000</v>
      </c>
      <c r="Z72" s="194">
        <v>82000</v>
      </c>
      <c r="AA72" s="61">
        <v>110681</v>
      </c>
      <c r="AB72" s="61">
        <f t="shared" si="91"/>
        <v>-28681</v>
      </c>
      <c r="AC72" s="122">
        <f t="shared" si="115"/>
        <v>-0.259132100360495</v>
      </c>
      <c r="AD72" s="74">
        <f t="shared" si="116"/>
        <v>0.683333333333333</v>
      </c>
      <c r="AE72" s="61">
        <f>K72-I72</f>
        <v>-10478</v>
      </c>
      <c r="AF72" s="52">
        <v>400</v>
      </c>
      <c r="AG72" s="52">
        <v>20</v>
      </c>
      <c r="AH72" s="76">
        <v>249</v>
      </c>
      <c r="AI72" s="98">
        <v>0</v>
      </c>
      <c r="AJ72" s="76">
        <v>21</v>
      </c>
      <c r="AK72" s="74">
        <f t="shared" si="106"/>
        <v>-0.91566265060241</v>
      </c>
      <c r="AL72" s="74">
        <f>AJ72/AG72</f>
        <v>1.05</v>
      </c>
      <c r="AM72" s="61">
        <f>-35+45</f>
        <v>10</v>
      </c>
      <c r="AN72" s="61">
        <f>-25+45</f>
        <v>20</v>
      </c>
      <c r="AO72" s="61">
        <f>-20+45</f>
        <v>25</v>
      </c>
      <c r="AP72" s="61">
        <f t="shared" si="117"/>
        <v>31</v>
      </c>
      <c r="AQ72" s="61"/>
      <c r="AR72" s="61"/>
      <c r="AS72" s="61">
        <f t="shared" si="120"/>
        <v>76</v>
      </c>
      <c r="AT72" s="61">
        <v>60</v>
      </c>
      <c r="AU72" s="194">
        <v>60</v>
      </c>
      <c r="AV72" s="61">
        <f>-110+360</f>
        <v>250</v>
      </c>
      <c r="AW72" s="206">
        <f t="shared" si="107"/>
        <v>-190</v>
      </c>
      <c r="AX72" s="74">
        <f t="shared" si="118"/>
        <v>-0.76</v>
      </c>
      <c r="AY72" s="74">
        <f>AT72/AF72</f>
        <v>0.15</v>
      </c>
      <c r="AZ72" s="207"/>
      <c r="BA72" s="208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XDW72" s="13"/>
      <c r="XDX72" s="13"/>
      <c r="XDY72" s="13"/>
      <c r="XDZ72" s="13"/>
      <c r="XEA72" s="13"/>
      <c r="XEB72" s="13"/>
      <c r="XEC72" s="13"/>
      <c r="XED72" s="13"/>
      <c r="XEE72" s="13"/>
      <c r="XEF72" s="13"/>
      <c r="XEG72" s="13"/>
      <c r="XEH72" s="13"/>
      <c r="XEI72" s="13"/>
      <c r="XEJ72" s="13"/>
      <c r="XEK72" s="13"/>
      <c r="XEL72" s="13"/>
      <c r="XEM72" s="13"/>
      <c r="XEN72" s="13"/>
      <c r="XEO72" s="13"/>
      <c r="XEP72" s="13"/>
      <c r="XEQ72" s="13"/>
      <c r="XER72" s="13"/>
      <c r="XES72" s="13"/>
      <c r="XET72" s="13"/>
      <c r="XEU72" s="13"/>
      <c r="XEV72" s="13"/>
      <c r="XEW72" s="13"/>
      <c r="XEX72" s="13"/>
      <c r="XEY72" s="13"/>
      <c r="XEZ72" s="13"/>
      <c r="XFA72" s="13"/>
      <c r="XFB72" s="13"/>
      <c r="XFC72" s="13"/>
      <c r="XFD72" s="13"/>
    </row>
    <row r="73" s="1" customFormat="1" ht="25" hidden="1" customHeight="1" outlineLevel="1" spans="1:16384">
      <c r="A73" s="157"/>
      <c r="B73" s="141"/>
      <c r="C73" s="164"/>
      <c r="D73" s="45" t="s">
        <v>161</v>
      </c>
      <c r="E73" s="52"/>
      <c r="F73" s="51"/>
      <c r="G73" s="52"/>
      <c r="H73" s="79">
        <v>0</v>
      </c>
      <c r="I73" s="79">
        <v>0</v>
      </c>
      <c r="J73" s="79">
        <v>0</v>
      </c>
      <c r="K73" s="76">
        <v>53522</v>
      </c>
      <c r="L73" s="76">
        <f>L72-L74</f>
        <v>47333</v>
      </c>
      <c r="M73" s="61">
        <f t="shared" si="113"/>
        <v>6189</v>
      </c>
      <c r="N73" s="74">
        <f t="shared" si="102"/>
        <v>0.13075444193269</v>
      </c>
      <c r="O73" s="74"/>
      <c r="P73" s="79">
        <v>0</v>
      </c>
      <c r="Q73" s="74" t="s">
        <v>25</v>
      </c>
      <c r="R73" s="77">
        <f>R72-R74</f>
        <v>8000</v>
      </c>
      <c r="S73" s="77">
        <f>S72-S74</f>
        <v>10000</v>
      </c>
      <c r="T73" s="77">
        <f>T72-T74</f>
        <v>10000</v>
      </c>
      <c r="U73" s="61">
        <f t="shared" si="114"/>
        <v>61522</v>
      </c>
      <c r="V73" s="77"/>
      <c r="W73" s="77"/>
      <c r="X73" s="61">
        <f t="shared" si="119"/>
        <v>81522</v>
      </c>
      <c r="Y73" s="61">
        <v>82000</v>
      </c>
      <c r="Z73" s="189">
        <v>82000</v>
      </c>
      <c r="AA73" s="77">
        <f>AA72-AA74</f>
        <v>65834</v>
      </c>
      <c r="AB73" s="61">
        <f t="shared" si="91"/>
        <v>16166</v>
      </c>
      <c r="AC73" s="122">
        <f t="shared" si="115"/>
        <v>0.24555700701765</v>
      </c>
      <c r="AD73" s="74" t="s">
        <v>25</v>
      </c>
      <c r="AE73" s="79">
        <v>0</v>
      </c>
      <c r="AF73" s="79">
        <v>0</v>
      </c>
      <c r="AG73" s="79">
        <v>0</v>
      </c>
      <c r="AH73" s="98">
        <v>0</v>
      </c>
      <c r="AI73" s="79">
        <v>0</v>
      </c>
      <c r="AJ73" s="79">
        <v>0</v>
      </c>
      <c r="AK73" s="79">
        <v>0</v>
      </c>
      <c r="AL73" s="79">
        <v>0</v>
      </c>
      <c r="AM73" s="79">
        <v>0</v>
      </c>
      <c r="AN73" s="79">
        <v>0</v>
      </c>
      <c r="AO73" s="79">
        <v>0</v>
      </c>
      <c r="AP73" s="61">
        <f t="shared" si="117"/>
        <v>0</v>
      </c>
      <c r="AQ73" s="77"/>
      <c r="AR73" s="77"/>
      <c r="AS73" s="79">
        <v>0</v>
      </c>
      <c r="AT73" s="79">
        <v>0</v>
      </c>
      <c r="AU73" s="270"/>
      <c r="AV73" s="79">
        <v>0</v>
      </c>
      <c r="AW73" s="206">
        <f t="shared" si="107"/>
        <v>0</v>
      </c>
      <c r="AX73" s="74" t="s">
        <v>25</v>
      </c>
      <c r="AY73" s="74" t="s">
        <v>25</v>
      </c>
      <c r="AZ73" s="207"/>
      <c r="BA73" s="208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XDW73" s="13"/>
      <c r="XDX73" s="13"/>
      <c r="XDY73" s="13"/>
      <c r="XDZ73" s="13"/>
      <c r="XEA73" s="13"/>
      <c r="XEB73" s="13"/>
      <c r="XEC73" s="13"/>
      <c r="XED73" s="13"/>
      <c r="XEE73" s="13"/>
      <c r="XEF73" s="13"/>
      <c r="XEG73" s="13"/>
      <c r="XEH73" s="13"/>
      <c r="XEI73" s="13"/>
      <c r="XEJ73" s="13"/>
      <c r="XEK73" s="13"/>
      <c r="XEL73" s="13"/>
      <c r="XEM73" s="13"/>
      <c r="XEN73" s="13"/>
      <c r="XEO73" s="13"/>
      <c r="XEP73" s="13"/>
      <c r="XEQ73" s="13"/>
      <c r="XER73" s="13"/>
      <c r="XES73" s="13"/>
      <c r="XET73" s="13"/>
      <c r="XEU73" s="13"/>
      <c r="XEV73" s="13"/>
      <c r="XEW73" s="13"/>
      <c r="XEX73" s="13"/>
      <c r="XEY73" s="13"/>
      <c r="XEZ73" s="13"/>
      <c r="XFA73" s="13"/>
      <c r="XFB73" s="13"/>
      <c r="XFC73" s="13"/>
      <c r="XFD73" s="13"/>
    </row>
    <row r="74" s="1" customFormat="1" ht="25" hidden="1" customHeight="1" outlineLevel="1" spans="1:16384">
      <c r="A74" s="157"/>
      <c r="B74" s="141"/>
      <c r="C74" s="164"/>
      <c r="D74" s="45" t="s">
        <v>162</v>
      </c>
      <c r="E74" s="51" t="s">
        <v>163</v>
      </c>
      <c r="F74" s="51"/>
      <c r="G74" s="52"/>
      <c r="H74" s="79">
        <v>0</v>
      </c>
      <c r="I74" s="79">
        <v>0</v>
      </c>
      <c r="J74" s="79">
        <v>0</v>
      </c>
      <c r="K74" s="76">
        <v>0</v>
      </c>
      <c r="L74" s="61">
        <v>40437</v>
      </c>
      <c r="M74" s="61">
        <f t="shared" si="113"/>
        <v>-40437</v>
      </c>
      <c r="N74" s="74">
        <f t="shared" si="102"/>
        <v>-1</v>
      </c>
      <c r="O74" s="74"/>
      <c r="P74" s="79">
        <v>0</v>
      </c>
      <c r="Q74" s="74" t="s">
        <v>25</v>
      </c>
      <c r="R74" s="77">
        <v>0</v>
      </c>
      <c r="S74" s="77">
        <v>0</v>
      </c>
      <c r="T74" s="77">
        <v>0</v>
      </c>
      <c r="U74" s="61">
        <f t="shared" si="114"/>
        <v>0</v>
      </c>
      <c r="V74" s="77"/>
      <c r="W74" s="77"/>
      <c r="X74" s="61">
        <f t="shared" si="119"/>
        <v>0</v>
      </c>
      <c r="Y74" s="61">
        <v>0</v>
      </c>
      <c r="Z74" s="189">
        <v>0</v>
      </c>
      <c r="AA74" s="61">
        <v>44847</v>
      </c>
      <c r="AB74" s="61">
        <f t="shared" si="91"/>
        <v>-44847</v>
      </c>
      <c r="AC74" s="122">
        <f t="shared" si="115"/>
        <v>-1</v>
      </c>
      <c r="AD74" s="74" t="s">
        <v>25</v>
      </c>
      <c r="AE74" s="79">
        <v>0</v>
      </c>
      <c r="AF74" s="79">
        <v>0</v>
      </c>
      <c r="AG74" s="79">
        <v>0</v>
      </c>
      <c r="AH74" s="98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0</v>
      </c>
      <c r="AN74" s="79">
        <v>0</v>
      </c>
      <c r="AO74" s="79">
        <v>0</v>
      </c>
      <c r="AP74" s="61">
        <f t="shared" si="117"/>
        <v>0</v>
      </c>
      <c r="AQ74" s="77"/>
      <c r="AR74" s="77"/>
      <c r="AS74" s="79">
        <v>0</v>
      </c>
      <c r="AT74" s="79">
        <v>0</v>
      </c>
      <c r="AU74" s="270"/>
      <c r="AV74" s="79">
        <v>0</v>
      </c>
      <c r="AW74" s="206">
        <f t="shared" si="107"/>
        <v>0</v>
      </c>
      <c r="AX74" s="74" t="s">
        <v>25</v>
      </c>
      <c r="AY74" s="74" t="s">
        <v>25</v>
      </c>
      <c r="AZ74" s="207"/>
      <c r="BA74" s="208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XDW74" s="13"/>
      <c r="XDX74" s="13"/>
      <c r="XDY74" s="13"/>
      <c r="XDZ74" s="13"/>
      <c r="XEA74" s="13"/>
      <c r="XEB74" s="13"/>
      <c r="XEC74" s="13"/>
      <c r="XED74" s="13"/>
      <c r="XEE74" s="13"/>
      <c r="XEF74" s="13"/>
      <c r="XEG74" s="13"/>
      <c r="XEH74" s="13"/>
      <c r="XEI74" s="13"/>
      <c r="XEJ74" s="13"/>
      <c r="XEK74" s="13"/>
      <c r="XEL74" s="13"/>
      <c r="XEM74" s="13"/>
      <c r="XEN74" s="13"/>
      <c r="XEO74" s="13"/>
      <c r="XEP74" s="13"/>
      <c r="XEQ74" s="13"/>
      <c r="XER74" s="13"/>
      <c r="XES74" s="13"/>
      <c r="XET74" s="13"/>
      <c r="XEU74" s="13"/>
      <c r="XEV74" s="13"/>
      <c r="XEW74" s="13"/>
      <c r="XEX74" s="13"/>
      <c r="XEY74" s="13"/>
      <c r="XEZ74" s="13"/>
      <c r="XFA74" s="13"/>
      <c r="XFB74" s="13"/>
      <c r="XFC74" s="13"/>
      <c r="XFD74" s="13"/>
    </row>
    <row r="75" s="1" customFormat="1" ht="25" hidden="1" customHeight="1" outlineLevel="1" collapsed="1" spans="1:16384">
      <c r="A75" s="157"/>
      <c r="B75" s="141"/>
      <c r="C75" s="164">
        <v>29</v>
      </c>
      <c r="D75" s="45" t="s">
        <v>84</v>
      </c>
      <c r="E75" s="42" t="s">
        <v>197</v>
      </c>
      <c r="F75" s="52"/>
      <c r="G75" s="52" t="s">
        <v>154</v>
      </c>
      <c r="H75" s="51">
        <v>500</v>
      </c>
      <c r="I75" s="52">
        <v>290</v>
      </c>
      <c r="J75" s="79">
        <v>0</v>
      </c>
      <c r="K75" s="76">
        <v>290</v>
      </c>
      <c r="L75" s="61">
        <v>338</v>
      </c>
      <c r="M75" s="61">
        <f t="shared" si="113"/>
        <v>-48</v>
      </c>
      <c r="N75" s="74">
        <f t="shared" si="102"/>
        <v>-0.142011834319527</v>
      </c>
      <c r="O75" s="74"/>
      <c r="P75" s="74">
        <f>K75/I75</f>
        <v>1</v>
      </c>
      <c r="Q75" s="74">
        <f t="shared" si="109"/>
        <v>0.58</v>
      </c>
      <c r="R75" s="61">
        <v>36</v>
      </c>
      <c r="S75" s="61">
        <v>36</v>
      </c>
      <c r="T75" s="61">
        <v>36</v>
      </c>
      <c r="U75" s="61">
        <f t="shared" si="114"/>
        <v>326</v>
      </c>
      <c r="V75" s="61"/>
      <c r="W75" s="61"/>
      <c r="X75" s="61">
        <f t="shared" si="119"/>
        <v>398</v>
      </c>
      <c r="Y75" s="61">
        <v>400</v>
      </c>
      <c r="Z75" s="189">
        <v>400</v>
      </c>
      <c r="AA75" s="61">
        <v>505</v>
      </c>
      <c r="AB75" s="61">
        <f t="shared" si="91"/>
        <v>-105</v>
      </c>
      <c r="AC75" s="122">
        <f t="shared" si="115"/>
        <v>-0.207920792079208</v>
      </c>
      <c r="AD75" s="74">
        <f t="shared" si="116"/>
        <v>0.8</v>
      </c>
      <c r="AE75" s="61"/>
      <c r="AF75" s="52">
        <v>4100</v>
      </c>
      <c r="AG75" s="52">
        <v>4100</v>
      </c>
      <c r="AH75" s="76">
        <v>282</v>
      </c>
      <c r="AI75" s="98">
        <v>0</v>
      </c>
      <c r="AJ75" s="76">
        <v>4773</v>
      </c>
      <c r="AK75" s="74">
        <f t="shared" ref="AK75:AK84" si="121">(AJ75-AH75)/ABS(AH75)</f>
        <v>15.9255319148936</v>
      </c>
      <c r="AL75" s="74">
        <f>AJ75/AG75</f>
        <v>1.16414634146341</v>
      </c>
      <c r="AM75" s="61">
        <v>-19</v>
      </c>
      <c r="AN75" s="61">
        <v>-19</v>
      </c>
      <c r="AO75" s="61">
        <v>-19</v>
      </c>
      <c r="AP75" s="61">
        <f t="shared" si="117"/>
        <v>4754</v>
      </c>
      <c r="AQ75" s="61"/>
      <c r="AR75" s="61"/>
      <c r="AS75" s="61">
        <f t="shared" si="120"/>
        <v>4716</v>
      </c>
      <c r="AT75" s="61">
        <v>5200</v>
      </c>
      <c r="AU75" s="189">
        <v>4800</v>
      </c>
      <c r="AV75" s="61">
        <v>2301</v>
      </c>
      <c r="AW75" s="206">
        <f t="shared" si="107"/>
        <v>2899</v>
      </c>
      <c r="AX75" s="74">
        <f t="shared" si="118"/>
        <v>1.25988700564972</v>
      </c>
      <c r="AY75" s="74">
        <f>AT75/AF75</f>
        <v>1.26829268292683</v>
      </c>
      <c r="AZ75" s="207"/>
      <c r="BA75" s="208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XDW75" s="13"/>
      <c r="XDX75" s="13"/>
      <c r="XDY75" s="13"/>
      <c r="XDZ75" s="13"/>
      <c r="XEA75" s="13"/>
      <c r="XEB75" s="13"/>
      <c r="XEC75" s="13"/>
      <c r="XED75" s="13"/>
      <c r="XEE75" s="13"/>
      <c r="XEF75" s="13"/>
      <c r="XEG75" s="13"/>
      <c r="XEH75" s="13"/>
      <c r="XEI75" s="13"/>
      <c r="XEJ75" s="13"/>
      <c r="XEK75" s="13"/>
      <c r="XEL75" s="13"/>
      <c r="XEM75" s="13"/>
      <c r="XEN75" s="13"/>
      <c r="XEO75" s="13"/>
      <c r="XEP75" s="13"/>
      <c r="XEQ75" s="13"/>
      <c r="XER75" s="13"/>
      <c r="XES75" s="13"/>
      <c r="XET75" s="13"/>
      <c r="XEU75" s="13"/>
      <c r="XEV75" s="13"/>
      <c r="XEW75" s="13"/>
      <c r="XEX75" s="13"/>
      <c r="XEY75" s="13"/>
      <c r="XEZ75" s="13"/>
      <c r="XFA75" s="13"/>
      <c r="XFB75" s="13"/>
      <c r="XFC75" s="13"/>
      <c r="XFD75" s="13"/>
    </row>
    <row r="76" s="1" customFormat="1" ht="25" hidden="1" customHeight="1" outlineLevel="1" spans="1:16384">
      <c r="A76" s="157"/>
      <c r="B76" s="141"/>
      <c r="C76" s="164">
        <v>30</v>
      </c>
      <c r="D76" s="45" t="s">
        <v>83</v>
      </c>
      <c r="E76" s="42" t="s">
        <v>197</v>
      </c>
      <c r="F76" s="52"/>
      <c r="G76" s="52" t="s">
        <v>154</v>
      </c>
      <c r="H76" s="51">
        <v>7500</v>
      </c>
      <c r="I76" s="52">
        <v>4400</v>
      </c>
      <c r="J76" s="79">
        <v>0</v>
      </c>
      <c r="K76" s="76">
        <v>4550</v>
      </c>
      <c r="L76" s="61">
        <v>3982</v>
      </c>
      <c r="M76" s="61">
        <f t="shared" si="113"/>
        <v>568</v>
      </c>
      <c r="N76" s="74">
        <f t="shared" si="102"/>
        <v>0.142641888498242</v>
      </c>
      <c r="O76" s="74"/>
      <c r="P76" s="74">
        <f>K76/I76</f>
        <v>1.03409090909091</v>
      </c>
      <c r="Q76" s="74">
        <f t="shared" si="109"/>
        <v>0.606666666666667</v>
      </c>
      <c r="R76" s="61">
        <v>1000</v>
      </c>
      <c r="S76" s="61">
        <v>300</v>
      </c>
      <c r="T76" s="61">
        <v>300</v>
      </c>
      <c r="U76" s="61">
        <f t="shared" si="114"/>
        <v>5550</v>
      </c>
      <c r="V76" s="61"/>
      <c r="W76" s="61"/>
      <c r="X76" s="61">
        <f t="shared" si="119"/>
        <v>6150</v>
      </c>
      <c r="Y76" s="61">
        <v>6100</v>
      </c>
      <c r="Z76" s="189">
        <v>6100</v>
      </c>
      <c r="AA76" s="61">
        <v>5932</v>
      </c>
      <c r="AB76" s="61">
        <f t="shared" si="91"/>
        <v>168</v>
      </c>
      <c r="AC76" s="122">
        <f t="shared" si="115"/>
        <v>0.0283209710047201</v>
      </c>
      <c r="AD76" s="74">
        <f t="shared" si="116"/>
        <v>0.813333333333333</v>
      </c>
      <c r="AE76" s="61"/>
      <c r="AF76" s="52">
        <v>500</v>
      </c>
      <c r="AG76" s="52">
        <v>300</v>
      </c>
      <c r="AH76" s="76">
        <v>306</v>
      </c>
      <c r="AI76" s="98">
        <v>0</v>
      </c>
      <c r="AJ76" s="76">
        <v>480</v>
      </c>
      <c r="AK76" s="74">
        <f t="shared" si="121"/>
        <v>0.568627450980392</v>
      </c>
      <c r="AL76" s="74">
        <f>AJ76/AG76</f>
        <v>1.6</v>
      </c>
      <c r="AM76" s="61">
        <v>300</v>
      </c>
      <c r="AN76" s="61">
        <v>-100</v>
      </c>
      <c r="AO76" s="61">
        <v>-100</v>
      </c>
      <c r="AP76" s="61">
        <f t="shared" si="117"/>
        <v>780</v>
      </c>
      <c r="AQ76" s="61"/>
      <c r="AR76" s="61"/>
      <c r="AS76" s="61">
        <f t="shared" si="120"/>
        <v>580</v>
      </c>
      <c r="AT76" s="61">
        <v>700</v>
      </c>
      <c r="AU76" s="189">
        <v>700</v>
      </c>
      <c r="AV76" s="61">
        <v>607</v>
      </c>
      <c r="AW76" s="206">
        <f t="shared" si="107"/>
        <v>93</v>
      </c>
      <c r="AX76" s="74">
        <f t="shared" si="118"/>
        <v>0.153212520593081</v>
      </c>
      <c r="AY76" s="74">
        <f>AT76/AF76</f>
        <v>1.4</v>
      </c>
      <c r="AZ76" s="207"/>
      <c r="BA76" s="208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XDW76" s="13"/>
      <c r="XDX76" s="13"/>
      <c r="XDY76" s="13"/>
      <c r="XDZ76" s="13"/>
      <c r="XEA76" s="13"/>
      <c r="XEB76" s="13"/>
      <c r="XEC76" s="13"/>
      <c r="XED76" s="13"/>
      <c r="XEE76" s="13"/>
      <c r="XEF76" s="13"/>
      <c r="XEG76" s="13"/>
      <c r="XEH76" s="13"/>
      <c r="XEI76" s="13"/>
      <c r="XEJ76" s="13"/>
      <c r="XEK76" s="13"/>
      <c r="XEL76" s="13"/>
      <c r="XEM76" s="13"/>
      <c r="XEN76" s="13"/>
      <c r="XEO76" s="13"/>
      <c r="XEP76" s="13"/>
      <c r="XEQ76" s="13"/>
      <c r="XER76" s="13"/>
      <c r="XES76" s="13"/>
      <c r="XET76" s="13"/>
      <c r="XEU76" s="13"/>
      <c r="XEV76" s="13"/>
      <c r="XEW76" s="13"/>
      <c r="XEX76" s="13"/>
      <c r="XEY76" s="13"/>
      <c r="XEZ76" s="13"/>
      <c r="XFA76" s="13"/>
      <c r="XFB76" s="13"/>
      <c r="XFC76" s="13"/>
      <c r="XFD76" s="13"/>
    </row>
    <row r="77" s="1" customFormat="1" ht="25" customHeight="1" collapsed="1" spans="1:16384">
      <c r="A77" s="157"/>
      <c r="B77" s="141"/>
      <c r="C77" s="164">
        <v>29</v>
      </c>
      <c r="D77" s="223" t="s">
        <v>77</v>
      </c>
      <c r="E77" s="42" t="s">
        <v>197</v>
      </c>
      <c r="F77" s="224"/>
      <c r="G77" s="224" t="s">
        <v>154</v>
      </c>
      <c r="H77" s="51">
        <v>9100</v>
      </c>
      <c r="I77" s="52">
        <v>4300</v>
      </c>
      <c r="J77" s="79">
        <v>0</v>
      </c>
      <c r="K77" s="52">
        <v>4260</v>
      </c>
      <c r="L77" s="52">
        <f>L78+L79+L80</f>
        <v>4503</v>
      </c>
      <c r="M77" s="61">
        <f t="shared" si="113"/>
        <v>-243</v>
      </c>
      <c r="N77" s="74">
        <f t="shared" si="102"/>
        <v>-0.0539640239840107</v>
      </c>
      <c r="O77" s="74"/>
      <c r="P77" s="74">
        <f>K77/I77</f>
        <v>0.990697674418605</v>
      </c>
      <c r="Q77" s="74">
        <f t="shared" si="109"/>
        <v>0.468131868131868</v>
      </c>
      <c r="R77" s="52">
        <f>R78+R79+R80</f>
        <v>663</v>
      </c>
      <c r="S77" s="52">
        <f>S78+S79+S80</f>
        <v>662</v>
      </c>
      <c r="T77" s="52">
        <f>T78+T79+T80</f>
        <v>662</v>
      </c>
      <c r="U77" s="61">
        <f t="shared" si="114"/>
        <v>4923</v>
      </c>
      <c r="V77" s="61"/>
      <c r="W77" s="61"/>
      <c r="X77" s="61">
        <f t="shared" si="119"/>
        <v>6247</v>
      </c>
      <c r="Y77" s="61">
        <v>6300</v>
      </c>
      <c r="Z77" s="194">
        <v>6300</v>
      </c>
      <c r="AA77" s="52">
        <f>AA78+AA79+AA80</f>
        <v>6695</v>
      </c>
      <c r="AB77" s="61">
        <f t="shared" si="91"/>
        <v>-395</v>
      </c>
      <c r="AC77" s="122">
        <f t="shared" si="115"/>
        <v>-0.0589992531740104</v>
      </c>
      <c r="AD77" s="74">
        <f t="shared" si="116"/>
        <v>0.692307692307692</v>
      </c>
      <c r="AE77" s="61">
        <f>K77-I77</f>
        <v>-40</v>
      </c>
      <c r="AF77" s="52">
        <v>4400</v>
      </c>
      <c r="AG77" s="52">
        <v>1770</v>
      </c>
      <c r="AH77" s="76">
        <f t="shared" ref="AH77:AO77" si="122">AH78+AH79+AH80</f>
        <v>2449</v>
      </c>
      <c r="AI77" s="98">
        <v>0</v>
      </c>
      <c r="AJ77" s="76">
        <f t="shared" si="122"/>
        <v>1930</v>
      </c>
      <c r="AK77" s="74">
        <f t="shared" si="121"/>
        <v>-0.21192323397305</v>
      </c>
      <c r="AL77" s="74">
        <f>AJ77/AG77</f>
        <v>1.09039548022599</v>
      </c>
      <c r="AM77" s="52">
        <f t="shared" si="122"/>
        <v>305</v>
      </c>
      <c r="AN77" s="52">
        <f t="shared" si="122"/>
        <v>304</v>
      </c>
      <c r="AO77" s="52">
        <f t="shared" si="122"/>
        <v>304</v>
      </c>
      <c r="AP77" s="61">
        <f t="shared" si="117"/>
        <v>2235</v>
      </c>
      <c r="AQ77" s="61"/>
      <c r="AR77" s="61"/>
      <c r="AS77" s="61">
        <f t="shared" si="120"/>
        <v>2843</v>
      </c>
      <c r="AT77" s="61">
        <v>2800</v>
      </c>
      <c r="AU77" s="194">
        <v>2800</v>
      </c>
      <c r="AV77" s="52">
        <f>AV78+AV79+AV80</f>
        <v>3598</v>
      </c>
      <c r="AW77" s="206">
        <f t="shared" ref="AW77:AW85" si="123">AT77-AV77</f>
        <v>-798</v>
      </c>
      <c r="AX77" s="74">
        <f t="shared" si="118"/>
        <v>-0.221789883268482</v>
      </c>
      <c r="AY77" s="74">
        <f>AT77/AF77</f>
        <v>0.636363636363636</v>
      </c>
      <c r="AZ77" s="207"/>
      <c r="BA77" s="208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XDW77" s="13"/>
      <c r="XDX77" s="13"/>
      <c r="XDY77" s="13"/>
      <c r="XDZ77" s="13"/>
      <c r="XEA77" s="13"/>
      <c r="XEB77" s="13"/>
      <c r="XEC77" s="13"/>
      <c r="XED77" s="13"/>
      <c r="XEE77" s="13"/>
      <c r="XEF77" s="13"/>
      <c r="XEG77" s="13"/>
      <c r="XEH77" s="13"/>
      <c r="XEI77" s="13"/>
      <c r="XEJ77" s="13"/>
      <c r="XEK77" s="13"/>
      <c r="XEL77" s="13"/>
      <c r="XEM77" s="13"/>
      <c r="XEN77" s="13"/>
      <c r="XEO77" s="13"/>
      <c r="XEP77" s="13"/>
      <c r="XEQ77" s="13"/>
      <c r="XER77" s="13"/>
      <c r="XES77" s="13"/>
      <c r="XET77" s="13"/>
      <c r="XEU77" s="13"/>
      <c r="XEV77" s="13"/>
      <c r="XEW77" s="13"/>
      <c r="XEX77" s="13"/>
      <c r="XEY77" s="13"/>
      <c r="XEZ77" s="13"/>
      <c r="XFA77" s="13"/>
      <c r="XFB77" s="13"/>
      <c r="XFC77" s="13"/>
      <c r="XFD77" s="13"/>
    </row>
    <row r="78" s="1" customFormat="1" hidden="1" outlineLevel="1" spans="1:16384">
      <c r="A78" s="225"/>
      <c r="B78" s="141"/>
      <c r="C78" s="226"/>
      <c r="D78" s="227" t="s">
        <v>198</v>
      </c>
      <c r="E78" s="228"/>
      <c r="F78" s="229"/>
      <c r="G78" s="229"/>
      <c r="H78" s="229">
        <v>5100</v>
      </c>
      <c r="I78" s="241">
        <v>0</v>
      </c>
      <c r="J78" s="241">
        <v>0</v>
      </c>
      <c r="K78" s="242">
        <v>2476</v>
      </c>
      <c r="L78" s="243">
        <v>2435</v>
      </c>
      <c r="M78" s="244">
        <f t="shared" si="113"/>
        <v>41</v>
      </c>
      <c r="N78" s="245">
        <f t="shared" ref="N78:N84" si="124">K78/L78-1</f>
        <v>0.0168377823408625</v>
      </c>
      <c r="O78" s="245"/>
      <c r="P78" s="246"/>
      <c r="Q78" s="245">
        <f t="shared" si="109"/>
        <v>0.485490196078431</v>
      </c>
      <c r="R78" s="243">
        <v>380</v>
      </c>
      <c r="S78" s="243">
        <v>380</v>
      </c>
      <c r="T78" s="243">
        <v>380</v>
      </c>
      <c r="U78" s="244">
        <f t="shared" si="114"/>
        <v>2856</v>
      </c>
      <c r="V78" s="243"/>
      <c r="W78" s="243"/>
      <c r="X78" s="244">
        <f t="shared" si="119"/>
        <v>3616</v>
      </c>
      <c r="Y78" s="244"/>
      <c r="Z78" s="257"/>
      <c r="AA78" s="244">
        <v>3653</v>
      </c>
      <c r="AB78" s="244">
        <f t="shared" si="91"/>
        <v>-3653</v>
      </c>
      <c r="AC78" s="258">
        <f t="shared" si="115"/>
        <v>-1</v>
      </c>
      <c r="AD78" s="245">
        <f t="shared" si="116"/>
        <v>0</v>
      </c>
      <c r="AE78" s="246"/>
      <c r="AF78" s="259">
        <v>2500</v>
      </c>
      <c r="AG78" s="241">
        <v>0</v>
      </c>
      <c r="AH78" s="259">
        <v>1152</v>
      </c>
      <c r="AI78" s="241">
        <v>0</v>
      </c>
      <c r="AJ78" s="266">
        <v>969</v>
      </c>
      <c r="AK78" s="245">
        <f t="shared" si="121"/>
        <v>-0.158854166666667</v>
      </c>
      <c r="AL78" s="228"/>
      <c r="AM78" s="243">
        <v>145</v>
      </c>
      <c r="AN78" s="243">
        <v>145</v>
      </c>
      <c r="AO78" s="243">
        <v>145</v>
      </c>
      <c r="AP78" s="244">
        <f t="shared" si="117"/>
        <v>1114</v>
      </c>
      <c r="AQ78" s="243"/>
      <c r="AR78" s="243"/>
      <c r="AS78" s="244">
        <f t="shared" si="120"/>
        <v>1404</v>
      </c>
      <c r="AT78" s="244"/>
      <c r="AU78" s="257"/>
      <c r="AV78" s="243">
        <v>1755</v>
      </c>
      <c r="AW78" s="272">
        <f t="shared" si="123"/>
        <v>-1755</v>
      </c>
      <c r="AX78" s="273" t="s">
        <v>25</v>
      </c>
      <c r="AY78" s="273" t="s">
        <v>25</v>
      </c>
      <c r="AZ78" s="274"/>
      <c r="BA78" s="275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XDW78" s="13"/>
      <c r="XDX78" s="13"/>
      <c r="XDY78" s="13"/>
      <c r="XDZ78" s="13"/>
      <c r="XEA78" s="13"/>
      <c r="XEB78" s="13"/>
      <c r="XEC78" s="13"/>
      <c r="XED78" s="13"/>
      <c r="XEE78" s="13"/>
      <c r="XEF78" s="13"/>
      <c r="XEG78" s="13"/>
      <c r="XEH78" s="13"/>
      <c r="XEI78" s="13"/>
      <c r="XEJ78" s="13"/>
      <c r="XEK78" s="13"/>
      <c r="XEL78" s="13"/>
      <c r="XEM78" s="13"/>
      <c r="XEN78" s="13"/>
      <c r="XEO78" s="13"/>
      <c r="XEP78" s="13"/>
      <c r="XEQ78" s="13"/>
      <c r="XER78" s="13"/>
      <c r="XES78" s="13"/>
      <c r="XET78" s="13"/>
      <c r="XEU78" s="13"/>
      <c r="XEV78" s="13"/>
      <c r="XEW78" s="13"/>
      <c r="XEX78" s="13"/>
      <c r="XEY78" s="13"/>
      <c r="XEZ78" s="13"/>
      <c r="XFA78" s="13"/>
      <c r="XFB78" s="13"/>
      <c r="XFC78" s="13"/>
      <c r="XFD78" s="13"/>
    </row>
    <row r="79" s="1" customFormat="1" hidden="1" outlineLevel="1" spans="1:16384">
      <c r="A79" s="230"/>
      <c r="B79" s="141"/>
      <c r="C79" s="113"/>
      <c r="D79" s="48" t="s">
        <v>199</v>
      </c>
      <c r="E79" s="33"/>
      <c r="F79" s="111"/>
      <c r="G79" s="111"/>
      <c r="H79" s="111">
        <v>400</v>
      </c>
      <c r="I79" s="78">
        <v>0</v>
      </c>
      <c r="J79" s="78">
        <v>0</v>
      </c>
      <c r="K79" s="76">
        <v>203</v>
      </c>
      <c r="L79" s="46">
        <v>203</v>
      </c>
      <c r="M79" s="61">
        <f t="shared" si="113"/>
        <v>0</v>
      </c>
      <c r="N79" s="74">
        <f t="shared" si="124"/>
        <v>0</v>
      </c>
      <c r="O79" s="74"/>
      <c r="P79" s="121"/>
      <c r="Q79" s="74">
        <f t="shared" si="109"/>
        <v>0.5075</v>
      </c>
      <c r="R79" s="46">
        <v>33</v>
      </c>
      <c r="S79" s="46">
        <v>32</v>
      </c>
      <c r="T79" s="46">
        <v>32</v>
      </c>
      <c r="U79" s="61">
        <f t="shared" si="114"/>
        <v>236</v>
      </c>
      <c r="V79" s="46"/>
      <c r="W79" s="46"/>
      <c r="X79" s="61">
        <f t="shared" si="119"/>
        <v>300</v>
      </c>
      <c r="Y79" s="61"/>
      <c r="Z79" s="193"/>
      <c r="AA79" s="61">
        <v>301</v>
      </c>
      <c r="AB79" s="61">
        <f t="shared" si="91"/>
        <v>-301</v>
      </c>
      <c r="AC79" s="122">
        <f t="shared" si="115"/>
        <v>-1</v>
      </c>
      <c r="AD79" s="74">
        <f t="shared" si="116"/>
        <v>0</v>
      </c>
      <c r="AE79" s="121"/>
      <c r="AF79" s="129">
        <v>-400</v>
      </c>
      <c r="AG79" s="78">
        <v>0</v>
      </c>
      <c r="AH79" s="129">
        <v>42</v>
      </c>
      <c r="AI79" s="78">
        <v>0</v>
      </c>
      <c r="AJ79" s="52">
        <f>154-62</f>
        <v>92</v>
      </c>
      <c r="AK79" s="74">
        <f t="shared" si="121"/>
        <v>1.19047619047619</v>
      </c>
      <c r="AL79" s="33"/>
      <c r="AM79" s="46">
        <v>15</v>
      </c>
      <c r="AN79" s="46">
        <v>14</v>
      </c>
      <c r="AO79" s="46">
        <v>14</v>
      </c>
      <c r="AP79" s="61">
        <f t="shared" si="117"/>
        <v>107</v>
      </c>
      <c r="AQ79" s="46"/>
      <c r="AR79" s="46"/>
      <c r="AS79" s="61">
        <f t="shared" si="120"/>
        <v>135</v>
      </c>
      <c r="AT79" s="61"/>
      <c r="AU79" s="193"/>
      <c r="AV79" s="46">
        <v>93</v>
      </c>
      <c r="AW79" s="276">
        <f t="shared" si="123"/>
        <v>-93</v>
      </c>
      <c r="AX79" s="277" t="s">
        <v>25</v>
      </c>
      <c r="AY79" s="277" t="s">
        <v>25</v>
      </c>
      <c r="AZ79" s="274"/>
      <c r="BA79" s="275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XDW79" s="13"/>
      <c r="XDX79" s="13"/>
      <c r="XDY79" s="13"/>
      <c r="XDZ79" s="13"/>
      <c r="XEA79" s="13"/>
      <c r="XEB79" s="13"/>
      <c r="XEC79" s="13"/>
      <c r="XED79" s="13"/>
      <c r="XEE79" s="13"/>
      <c r="XEF79" s="13"/>
      <c r="XEG79" s="13"/>
      <c r="XEH79" s="13"/>
      <c r="XEI79" s="13"/>
      <c r="XEJ79" s="13"/>
      <c r="XEK79" s="13"/>
      <c r="XEL79" s="13"/>
      <c r="XEM79" s="13"/>
      <c r="XEN79" s="13"/>
      <c r="XEO79" s="13"/>
      <c r="XEP79" s="13"/>
      <c r="XEQ79" s="13"/>
      <c r="XER79" s="13"/>
      <c r="XES79" s="13"/>
      <c r="XET79" s="13"/>
      <c r="XEU79" s="13"/>
      <c r="XEV79" s="13"/>
      <c r="XEW79" s="13"/>
      <c r="XEX79" s="13"/>
      <c r="XEY79" s="13"/>
      <c r="XEZ79" s="13"/>
      <c r="XFA79" s="13"/>
      <c r="XFB79" s="13"/>
      <c r="XFC79" s="13"/>
      <c r="XFD79" s="13"/>
    </row>
    <row r="80" s="1" customFormat="1" hidden="1" outlineLevel="1" spans="1:16384">
      <c r="A80" s="230"/>
      <c r="B80" s="141"/>
      <c r="C80" s="113"/>
      <c r="D80" s="56" t="s">
        <v>200</v>
      </c>
      <c r="E80" s="33"/>
      <c r="F80" s="111"/>
      <c r="G80" s="111"/>
      <c r="H80" s="111">
        <v>3600</v>
      </c>
      <c r="I80" s="78">
        <v>0</v>
      </c>
      <c r="J80" s="78">
        <v>0</v>
      </c>
      <c r="K80" s="76">
        <v>1581</v>
      </c>
      <c r="L80" s="46">
        <v>1865</v>
      </c>
      <c r="M80" s="61">
        <f t="shared" si="113"/>
        <v>-284</v>
      </c>
      <c r="N80" s="74">
        <f t="shared" si="124"/>
        <v>-0.152278820375335</v>
      </c>
      <c r="O80" s="74"/>
      <c r="P80" s="121"/>
      <c r="Q80" s="74">
        <f t="shared" si="109"/>
        <v>0.439166666666667</v>
      </c>
      <c r="R80" s="46">
        <v>250</v>
      </c>
      <c r="S80" s="46">
        <v>250</v>
      </c>
      <c r="T80" s="46">
        <v>250</v>
      </c>
      <c r="U80" s="61">
        <f t="shared" si="114"/>
        <v>1831</v>
      </c>
      <c r="V80" s="46"/>
      <c r="W80" s="46"/>
      <c r="X80" s="61">
        <f t="shared" si="119"/>
        <v>2331</v>
      </c>
      <c r="Y80" s="61"/>
      <c r="Z80" s="193"/>
      <c r="AA80" s="61">
        <v>2741</v>
      </c>
      <c r="AB80" s="61">
        <f t="shared" si="91"/>
        <v>-2741</v>
      </c>
      <c r="AC80" s="122">
        <f t="shared" si="115"/>
        <v>-1</v>
      </c>
      <c r="AD80" s="74">
        <f t="shared" si="116"/>
        <v>0</v>
      </c>
      <c r="AE80" s="121"/>
      <c r="AF80" s="129">
        <v>2300</v>
      </c>
      <c r="AG80" s="78">
        <v>0</v>
      </c>
      <c r="AH80" s="129">
        <v>1255</v>
      </c>
      <c r="AI80" s="78">
        <v>0</v>
      </c>
      <c r="AJ80" s="76">
        <v>869</v>
      </c>
      <c r="AK80" s="74">
        <f t="shared" si="121"/>
        <v>-0.307569721115538</v>
      </c>
      <c r="AL80" s="33"/>
      <c r="AM80" s="46">
        <v>145</v>
      </c>
      <c r="AN80" s="46">
        <v>145</v>
      </c>
      <c r="AO80" s="46">
        <v>145</v>
      </c>
      <c r="AP80" s="61">
        <f t="shared" si="117"/>
        <v>1014</v>
      </c>
      <c r="AQ80" s="46"/>
      <c r="AR80" s="46"/>
      <c r="AS80" s="61">
        <f t="shared" si="120"/>
        <v>1304</v>
      </c>
      <c r="AT80" s="61"/>
      <c r="AU80" s="193"/>
      <c r="AV80" s="76">
        <v>1750</v>
      </c>
      <c r="AW80" s="276">
        <f t="shared" si="123"/>
        <v>-1750</v>
      </c>
      <c r="AX80" s="277" t="s">
        <v>25</v>
      </c>
      <c r="AY80" s="277" t="s">
        <v>25</v>
      </c>
      <c r="AZ80" s="274"/>
      <c r="BA80" s="275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XDW80" s="13"/>
      <c r="XDX80" s="13"/>
      <c r="XDY80" s="13"/>
      <c r="XDZ80" s="13"/>
      <c r="XEA80" s="13"/>
      <c r="XEB80" s="13"/>
      <c r="XEC80" s="13"/>
      <c r="XED80" s="13"/>
      <c r="XEE80" s="13"/>
      <c r="XEF80" s="13"/>
      <c r="XEG80" s="13"/>
      <c r="XEH80" s="13"/>
      <c r="XEI80" s="13"/>
      <c r="XEJ80" s="13"/>
      <c r="XEK80" s="13"/>
      <c r="XEL80" s="13"/>
      <c r="XEM80" s="13"/>
      <c r="XEN80" s="13"/>
      <c r="XEO80" s="13"/>
      <c r="XEP80" s="13"/>
      <c r="XEQ80" s="13"/>
      <c r="XER80" s="13"/>
      <c r="XES80" s="13"/>
      <c r="XET80" s="13"/>
      <c r="XEU80" s="13"/>
      <c r="XEV80" s="13"/>
      <c r="XEW80" s="13"/>
      <c r="XEX80" s="13"/>
      <c r="XEY80" s="13"/>
      <c r="XEZ80" s="13"/>
      <c r="XFA80" s="13"/>
      <c r="XFB80" s="13"/>
      <c r="XFC80" s="13"/>
      <c r="XFD80" s="13"/>
    </row>
    <row r="81" s="1" customFormat="1" hidden="1" outlineLevel="1" spans="1:16384">
      <c r="A81" s="230"/>
      <c r="B81" s="141"/>
      <c r="C81" s="113"/>
      <c r="D81" s="56" t="s">
        <v>201</v>
      </c>
      <c r="E81" s="33"/>
      <c r="F81" s="111"/>
      <c r="G81" s="111" t="s">
        <v>154</v>
      </c>
      <c r="H81" s="43">
        <f>VLOOKUP(D81,[1]年度经营计划、预算、预计!$B$1:$K$65536,10,0)</f>
        <v>5000</v>
      </c>
      <c r="I81" s="111">
        <v>3000</v>
      </c>
      <c r="J81" s="121"/>
      <c r="K81" s="76">
        <v>2909</v>
      </c>
      <c r="L81" s="46">
        <v>3050</v>
      </c>
      <c r="M81" s="61">
        <f t="shared" si="113"/>
        <v>-141</v>
      </c>
      <c r="N81" s="74">
        <f t="shared" si="124"/>
        <v>-0.0462295081967213</v>
      </c>
      <c r="O81" s="74"/>
      <c r="P81" s="121"/>
      <c r="Q81" s="74">
        <f t="shared" si="109"/>
        <v>0.5818</v>
      </c>
      <c r="R81" s="46">
        <v>13</v>
      </c>
      <c r="S81" s="46">
        <v>0</v>
      </c>
      <c r="T81" s="46">
        <v>0</v>
      </c>
      <c r="U81" s="61">
        <f t="shared" si="114"/>
        <v>2922</v>
      </c>
      <c r="V81" s="46"/>
      <c r="W81" s="46"/>
      <c r="X81" s="61">
        <f t="shared" si="119"/>
        <v>2922</v>
      </c>
      <c r="Y81" s="61">
        <v>3000</v>
      </c>
      <c r="Z81" s="193">
        <v>3000</v>
      </c>
      <c r="AA81" s="61">
        <v>3445</v>
      </c>
      <c r="AB81" s="61">
        <f t="shared" si="91"/>
        <v>-445</v>
      </c>
      <c r="AC81" s="122">
        <f t="shared" si="115"/>
        <v>-0.129172714078374</v>
      </c>
      <c r="AD81" s="74">
        <f t="shared" si="116"/>
        <v>0.6</v>
      </c>
      <c r="AE81" s="121"/>
      <c r="AF81" s="121"/>
      <c r="AG81" s="129">
        <v>15</v>
      </c>
      <c r="AH81" s="129">
        <v>13</v>
      </c>
      <c r="AI81" s="33"/>
      <c r="AJ81" s="52">
        <v>7</v>
      </c>
      <c r="AK81" s="74">
        <f t="shared" si="121"/>
        <v>-0.461538461538462</v>
      </c>
      <c r="AL81" s="33"/>
      <c r="AM81" s="46">
        <v>2</v>
      </c>
      <c r="AN81" s="46">
        <v>0</v>
      </c>
      <c r="AO81" s="46">
        <v>0</v>
      </c>
      <c r="AP81" s="61">
        <f t="shared" si="117"/>
        <v>9</v>
      </c>
      <c r="AQ81" s="46"/>
      <c r="AR81" s="46"/>
      <c r="AS81" s="61">
        <f t="shared" si="120"/>
        <v>9</v>
      </c>
      <c r="AT81" s="61">
        <v>30</v>
      </c>
      <c r="AU81" s="193">
        <v>30</v>
      </c>
      <c r="AV81" s="46">
        <v>29</v>
      </c>
      <c r="AW81" s="276">
        <f t="shared" si="123"/>
        <v>1</v>
      </c>
      <c r="AX81" s="277">
        <f t="shared" si="118"/>
        <v>0.0344827586206897</v>
      </c>
      <c r="AY81" s="277" t="s">
        <v>25</v>
      </c>
      <c r="AZ81" s="274"/>
      <c r="BA81" s="275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XDW81" s="13"/>
      <c r="XDX81" s="13"/>
      <c r="XDY81" s="13"/>
      <c r="XDZ81" s="13"/>
      <c r="XEA81" s="13"/>
      <c r="XEB81" s="13"/>
      <c r="XEC81" s="13"/>
      <c r="XED81" s="13"/>
      <c r="XEE81" s="13"/>
      <c r="XEF81" s="13"/>
      <c r="XEG81" s="13"/>
      <c r="XEH81" s="13"/>
      <c r="XEI81" s="13"/>
      <c r="XEJ81" s="13"/>
      <c r="XEK81" s="13"/>
      <c r="XEL81" s="13"/>
      <c r="XEM81" s="13"/>
      <c r="XEN81" s="13"/>
      <c r="XEO81" s="13"/>
      <c r="XEP81" s="13"/>
      <c r="XEQ81" s="13"/>
      <c r="XER81" s="13"/>
      <c r="XES81" s="13"/>
      <c r="XET81" s="13"/>
      <c r="XEU81" s="13"/>
      <c r="XEV81" s="13"/>
      <c r="XEW81" s="13"/>
      <c r="XEX81" s="13"/>
      <c r="XEY81" s="13"/>
      <c r="XEZ81" s="13"/>
      <c r="XFA81" s="13"/>
      <c r="XFB81" s="13"/>
      <c r="XFC81" s="13"/>
      <c r="XFD81" s="13"/>
    </row>
    <row r="82" s="1" customFormat="1" hidden="1" outlineLevel="1" spans="1:16384">
      <c r="A82" s="230"/>
      <c r="B82" s="141"/>
      <c r="C82" s="113"/>
      <c r="D82" s="45" t="s">
        <v>202</v>
      </c>
      <c r="E82" s="33"/>
      <c r="F82" s="111"/>
      <c r="G82" s="111" t="s">
        <v>154</v>
      </c>
      <c r="H82" s="43"/>
      <c r="I82" s="111">
        <v>211</v>
      </c>
      <c r="J82" s="121"/>
      <c r="K82" s="76">
        <v>209</v>
      </c>
      <c r="L82" s="46">
        <v>206</v>
      </c>
      <c r="M82" s="61">
        <f t="shared" si="113"/>
        <v>3</v>
      </c>
      <c r="N82" s="74">
        <f t="shared" si="124"/>
        <v>0.0145631067961165</v>
      </c>
      <c r="O82" s="74"/>
      <c r="P82" s="121"/>
      <c r="Q82" s="74" t="s">
        <v>25</v>
      </c>
      <c r="R82" s="46">
        <v>103</v>
      </c>
      <c r="S82" s="46">
        <v>0</v>
      </c>
      <c r="T82" s="46">
        <v>0</v>
      </c>
      <c r="U82" s="61">
        <f t="shared" si="114"/>
        <v>312</v>
      </c>
      <c r="V82" s="46"/>
      <c r="W82" s="46"/>
      <c r="X82" s="61">
        <f t="shared" si="119"/>
        <v>312</v>
      </c>
      <c r="Y82" s="61">
        <v>300</v>
      </c>
      <c r="Z82" s="193">
        <v>300</v>
      </c>
      <c r="AA82" s="61">
        <v>300</v>
      </c>
      <c r="AB82" s="61">
        <f t="shared" si="91"/>
        <v>0</v>
      </c>
      <c r="AC82" s="122">
        <f t="shared" si="115"/>
        <v>0</v>
      </c>
      <c r="AD82" s="74" t="s">
        <v>25</v>
      </c>
      <c r="AE82" s="121"/>
      <c r="AF82" s="121"/>
      <c r="AG82" s="129">
        <v>-27</v>
      </c>
      <c r="AH82" s="129">
        <v>-7</v>
      </c>
      <c r="AI82" s="33"/>
      <c r="AJ82" s="52">
        <v>-3</v>
      </c>
      <c r="AK82" s="74">
        <f t="shared" si="121"/>
        <v>0.571428571428571</v>
      </c>
      <c r="AL82" s="33"/>
      <c r="AM82" s="46">
        <v>83</v>
      </c>
      <c r="AN82" s="46">
        <v>-20</v>
      </c>
      <c r="AO82" s="46">
        <v>-20</v>
      </c>
      <c r="AP82" s="61">
        <f t="shared" si="117"/>
        <v>80</v>
      </c>
      <c r="AQ82" s="46"/>
      <c r="AR82" s="46"/>
      <c r="AS82" s="61">
        <f t="shared" si="120"/>
        <v>40</v>
      </c>
      <c r="AT82" s="61">
        <v>50</v>
      </c>
      <c r="AU82" s="193">
        <v>50</v>
      </c>
      <c r="AV82" s="46">
        <v>-7</v>
      </c>
      <c r="AW82" s="276">
        <f t="shared" si="123"/>
        <v>57</v>
      </c>
      <c r="AX82" s="277">
        <f t="shared" si="118"/>
        <v>8.14285714285714</v>
      </c>
      <c r="AY82" s="277" t="s">
        <v>25</v>
      </c>
      <c r="AZ82" s="274"/>
      <c r="BA82" s="275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XDW82" s="13"/>
      <c r="XDX82" s="13"/>
      <c r="XDY82" s="13"/>
      <c r="XDZ82" s="13"/>
      <c r="XEA82" s="13"/>
      <c r="XEB82" s="13"/>
      <c r="XEC82" s="13"/>
      <c r="XED82" s="13"/>
      <c r="XEE82" s="13"/>
      <c r="XEF82" s="13"/>
      <c r="XEG82" s="13"/>
      <c r="XEH82" s="13"/>
      <c r="XEI82" s="13"/>
      <c r="XEJ82" s="13"/>
      <c r="XEK82" s="13"/>
      <c r="XEL82" s="13"/>
      <c r="XEM82" s="13"/>
      <c r="XEN82" s="13"/>
      <c r="XEO82" s="13"/>
      <c r="XEP82" s="13"/>
      <c r="XEQ82" s="13"/>
      <c r="XER82" s="13"/>
      <c r="XES82" s="13"/>
      <c r="XET82" s="13"/>
      <c r="XEU82" s="13"/>
      <c r="XEV82" s="13"/>
      <c r="XEW82" s="13"/>
      <c r="XEX82" s="13"/>
      <c r="XEY82" s="13"/>
      <c r="XEZ82" s="13"/>
      <c r="XFA82" s="13"/>
      <c r="XFB82" s="13"/>
      <c r="XFC82" s="13"/>
      <c r="XFD82" s="13"/>
    </row>
    <row r="83" s="1" customFormat="1" hidden="1" outlineLevel="1" spans="1:16384">
      <c r="A83" s="230"/>
      <c r="B83" s="141"/>
      <c r="C83" s="113"/>
      <c r="D83" s="45" t="s">
        <v>203</v>
      </c>
      <c r="E83" s="33"/>
      <c r="F83" s="111"/>
      <c r="G83" s="111" t="s">
        <v>154</v>
      </c>
      <c r="H83" s="43"/>
      <c r="I83" s="111">
        <v>137</v>
      </c>
      <c r="J83" s="121"/>
      <c r="K83" s="76">
        <v>137</v>
      </c>
      <c r="L83" s="46">
        <v>125</v>
      </c>
      <c r="M83" s="61">
        <f t="shared" si="113"/>
        <v>12</v>
      </c>
      <c r="N83" s="74">
        <f t="shared" si="124"/>
        <v>0.0960000000000001</v>
      </c>
      <c r="O83" s="74"/>
      <c r="P83" s="121"/>
      <c r="Q83" s="74" t="s">
        <v>25</v>
      </c>
      <c r="R83" s="46">
        <v>25</v>
      </c>
      <c r="S83" s="46">
        <v>25</v>
      </c>
      <c r="T83" s="46">
        <v>25</v>
      </c>
      <c r="U83" s="61">
        <f t="shared" si="114"/>
        <v>162</v>
      </c>
      <c r="V83" s="46"/>
      <c r="W83" s="46"/>
      <c r="X83" s="61">
        <f t="shared" si="119"/>
        <v>212</v>
      </c>
      <c r="Y83" s="61">
        <v>200</v>
      </c>
      <c r="Z83" s="193">
        <v>200</v>
      </c>
      <c r="AA83" s="61">
        <v>125</v>
      </c>
      <c r="AB83" s="61">
        <f t="shared" si="91"/>
        <v>75</v>
      </c>
      <c r="AC83" s="122">
        <f t="shared" si="115"/>
        <v>0.6</v>
      </c>
      <c r="AD83" s="74" t="s">
        <v>25</v>
      </c>
      <c r="AE83" s="121"/>
      <c r="AF83" s="121"/>
      <c r="AG83" s="129">
        <v>-20</v>
      </c>
      <c r="AH83" s="129">
        <v>-48</v>
      </c>
      <c r="AI83" s="33"/>
      <c r="AJ83" s="52">
        <v>-35</v>
      </c>
      <c r="AK83" s="74">
        <f t="shared" si="121"/>
        <v>0.270833333333333</v>
      </c>
      <c r="AL83" s="33"/>
      <c r="AM83" s="46">
        <v>1</v>
      </c>
      <c r="AN83" s="46">
        <v>1</v>
      </c>
      <c r="AO83" s="46">
        <v>1</v>
      </c>
      <c r="AP83" s="61">
        <f t="shared" si="117"/>
        <v>-34</v>
      </c>
      <c r="AQ83" s="46"/>
      <c r="AR83" s="46"/>
      <c r="AS83" s="61">
        <f t="shared" si="120"/>
        <v>-32</v>
      </c>
      <c r="AT83" s="61">
        <v>-30</v>
      </c>
      <c r="AU83" s="193">
        <v>-30</v>
      </c>
      <c r="AV83" s="46">
        <v>-126</v>
      </c>
      <c r="AW83" s="276">
        <f t="shared" si="123"/>
        <v>96</v>
      </c>
      <c r="AX83" s="277">
        <f t="shared" si="118"/>
        <v>0.761904761904762</v>
      </c>
      <c r="AY83" s="277" t="s">
        <v>25</v>
      </c>
      <c r="AZ83" s="274"/>
      <c r="BA83" s="275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XDW83" s="13"/>
      <c r="XDX83" s="13"/>
      <c r="XDY83" s="13"/>
      <c r="XDZ83" s="13"/>
      <c r="XEA83" s="13"/>
      <c r="XEB83" s="13"/>
      <c r="XEC83" s="13"/>
      <c r="XED83" s="13"/>
      <c r="XEE83" s="13"/>
      <c r="XEF83" s="13"/>
      <c r="XEG83" s="13"/>
      <c r="XEH83" s="13"/>
      <c r="XEI83" s="13"/>
      <c r="XEJ83" s="13"/>
      <c r="XEK83" s="13"/>
      <c r="XEL83" s="13"/>
      <c r="XEM83" s="13"/>
      <c r="XEN83" s="13"/>
      <c r="XEO83" s="13"/>
      <c r="XEP83" s="13"/>
      <c r="XEQ83" s="13"/>
      <c r="XER83" s="13"/>
      <c r="XES83" s="13"/>
      <c r="XET83" s="13"/>
      <c r="XEU83" s="13"/>
      <c r="XEV83" s="13"/>
      <c r="XEW83" s="13"/>
      <c r="XEX83" s="13"/>
      <c r="XEY83" s="13"/>
      <c r="XEZ83" s="13"/>
      <c r="XFA83" s="13"/>
      <c r="XFB83" s="13"/>
      <c r="XFC83" s="13"/>
      <c r="XFD83" s="13"/>
    </row>
    <row r="84" s="6" customFormat="1" hidden="1" outlineLevel="1" spans="1:16384">
      <c r="A84" s="231"/>
      <c r="B84" s="167"/>
      <c r="C84" s="232"/>
      <c r="D84" s="233" t="s">
        <v>204</v>
      </c>
      <c r="E84" s="234"/>
      <c r="F84" s="235"/>
      <c r="G84" s="235" t="s">
        <v>154</v>
      </c>
      <c r="H84" s="236"/>
      <c r="I84" s="235">
        <v>1700</v>
      </c>
      <c r="J84" s="247"/>
      <c r="K84" s="248">
        <v>1790</v>
      </c>
      <c r="L84" s="248">
        <v>2999</v>
      </c>
      <c r="M84" s="249">
        <f t="shared" si="113"/>
        <v>-1209</v>
      </c>
      <c r="N84" s="250">
        <f t="shared" si="124"/>
        <v>-0.403134378126042</v>
      </c>
      <c r="O84" s="250"/>
      <c r="P84" s="247"/>
      <c r="Q84" s="250" t="s">
        <v>25</v>
      </c>
      <c r="R84" s="248">
        <v>100</v>
      </c>
      <c r="S84" s="248">
        <v>50</v>
      </c>
      <c r="T84" s="248">
        <v>50</v>
      </c>
      <c r="U84" s="249">
        <f t="shared" si="114"/>
        <v>1890</v>
      </c>
      <c r="V84" s="248"/>
      <c r="W84" s="248"/>
      <c r="X84" s="249">
        <f t="shared" si="119"/>
        <v>1990</v>
      </c>
      <c r="Y84" s="249">
        <v>1900</v>
      </c>
      <c r="Z84" s="260">
        <v>1900</v>
      </c>
      <c r="AA84" s="249">
        <v>4586</v>
      </c>
      <c r="AB84" s="249">
        <f t="shared" si="91"/>
        <v>-2686</v>
      </c>
      <c r="AC84" s="247">
        <f t="shared" si="115"/>
        <v>-0.585695595290013</v>
      </c>
      <c r="AD84" s="250" t="s">
        <v>25</v>
      </c>
      <c r="AE84" s="247"/>
      <c r="AF84" s="247"/>
      <c r="AG84" s="267">
        <v>30</v>
      </c>
      <c r="AH84" s="267">
        <v>45</v>
      </c>
      <c r="AI84" s="234"/>
      <c r="AJ84" s="234">
        <v>26</v>
      </c>
      <c r="AK84" s="250">
        <f t="shared" si="121"/>
        <v>-0.422222222222222</v>
      </c>
      <c r="AL84" s="234"/>
      <c r="AM84" s="248">
        <v>5</v>
      </c>
      <c r="AN84" s="248">
        <v>1</v>
      </c>
      <c r="AO84" s="248">
        <v>1</v>
      </c>
      <c r="AP84" s="249">
        <f t="shared" si="117"/>
        <v>31</v>
      </c>
      <c r="AQ84" s="248"/>
      <c r="AR84" s="248"/>
      <c r="AS84" s="249">
        <f t="shared" si="120"/>
        <v>33</v>
      </c>
      <c r="AT84" s="249">
        <v>30</v>
      </c>
      <c r="AU84" s="260">
        <v>30</v>
      </c>
      <c r="AV84" s="248">
        <v>69</v>
      </c>
      <c r="AW84" s="278">
        <f t="shared" si="123"/>
        <v>-39</v>
      </c>
      <c r="AX84" s="279">
        <f t="shared" si="118"/>
        <v>-0.565217391304348</v>
      </c>
      <c r="AY84" s="279" t="s">
        <v>25</v>
      </c>
      <c r="AZ84" s="274"/>
      <c r="BA84" s="275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6"/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106"/>
      <c r="ER84" s="106"/>
      <c r="ES84" s="106"/>
      <c r="ET84" s="106"/>
      <c r="EU84" s="106"/>
      <c r="EV84" s="106"/>
      <c r="EW84" s="106"/>
      <c r="EX84" s="106"/>
      <c r="EY84" s="106"/>
      <c r="EZ84" s="106"/>
      <c r="FA84" s="106"/>
      <c r="FB84" s="106"/>
      <c r="FC84" s="106"/>
      <c r="FD84" s="106"/>
      <c r="FE84" s="106"/>
      <c r="FF84" s="106"/>
      <c r="FG84" s="106"/>
      <c r="FH84" s="106"/>
      <c r="FI84" s="106"/>
      <c r="FJ84" s="106"/>
      <c r="FK84" s="106"/>
      <c r="FL84" s="106"/>
      <c r="FM84" s="106"/>
      <c r="FN84" s="106"/>
      <c r="FO84" s="106"/>
      <c r="FP84" s="106"/>
      <c r="FQ84" s="106"/>
      <c r="FR84" s="106"/>
      <c r="FS84" s="106"/>
      <c r="FT84" s="106"/>
      <c r="FU84" s="106"/>
      <c r="FV84" s="106"/>
      <c r="FW84" s="106"/>
      <c r="FX84" s="106"/>
      <c r="FY84" s="106"/>
      <c r="FZ84" s="106"/>
      <c r="GA84" s="106"/>
      <c r="GB84" s="106"/>
      <c r="GC84" s="106"/>
      <c r="GD84" s="106"/>
      <c r="GE84" s="106"/>
      <c r="GF84" s="106"/>
      <c r="GG84" s="106"/>
      <c r="GH84" s="106"/>
      <c r="GI84" s="106"/>
      <c r="GJ84" s="106"/>
      <c r="GK84" s="106"/>
      <c r="GL84" s="106"/>
      <c r="GM84" s="106"/>
      <c r="GN84" s="106"/>
      <c r="GO84" s="106"/>
      <c r="GP84" s="106"/>
      <c r="GQ84" s="106"/>
      <c r="GR84" s="106"/>
      <c r="GS84" s="106"/>
      <c r="GT84" s="106"/>
      <c r="GU84" s="106"/>
      <c r="GV84" s="106"/>
      <c r="GW84" s="106"/>
      <c r="GX84" s="106"/>
      <c r="GY84" s="106"/>
      <c r="GZ84" s="106"/>
      <c r="HA84" s="106"/>
      <c r="HB84" s="106"/>
      <c r="HC84" s="106"/>
      <c r="HD84" s="106"/>
      <c r="HE84" s="106"/>
      <c r="HF84" s="106"/>
      <c r="HG84" s="106"/>
      <c r="HH84" s="106"/>
      <c r="HI84" s="106"/>
      <c r="HJ84" s="106"/>
      <c r="HK84" s="106"/>
      <c r="HL84" s="106"/>
      <c r="HM84" s="106"/>
      <c r="HN84" s="106"/>
      <c r="HO84" s="106"/>
      <c r="HP84" s="106"/>
      <c r="HQ84" s="106"/>
      <c r="HR84" s="106"/>
      <c r="HS84" s="106"/>
      <c r="HT84" s="106"/>
      <c r="HU84" s="106"/>
      <c r="HV84" s="106"/>
      <c r="HW84" s="106"/>
      <c r="HX84" s="106"/>
      <c r="HY84" s="106"/>
      <c r="HZ84" s="106"/>
      <c r="IA84" s="106"/>
      <c r="IB84" s="106"/>
      <c r="IC84" s="106"/>
      <c r="ID84" s="106"/>
      <c r="IE84" s="106"/>
      <c r="IF84" s="106"/>
      <c r="IG84" s="106"/>
      <c r="IH84" s="106"/>
      <c r="II84" s="106"/>
      <c r="IJ84" s="106"/>
      <c r="IK84" s="106"/>
      <c r="IL84" s="106"/>
      <c r="XDW84" s="108"/>
      <c r="XDX84" s="108"/>
      <c r="XDY84" s="108"/>
      <c r="XDZ84" s="108"/>
      <c r="XEA84" s="108"/>
      <c r="XEB84" s="108"/>
      <c r="XEC84" s="108"/>
      <c r="XED84" s="108"/>
      <c r="XEE84" s="108"/>
      <c r="XEF84" s="108"/>
      <c r="XEG84" s="108"/>
      <c r="XEH84" s="108"/>
      <c r="XEI84" s="108"/>
      <c r="XEJ84" s="108"/>
      <c r="XEK84" s="108"/>
      <c r="XEL84" s="108"/>
      <c r="XEM84" s="108"/>
      <c r="XEN84" s="108"/>
      <c r="XEO84" s="108"/>
      <c r="XEP84" s="108"/>
      <c r="XEQ84" s="108"/>
      <c r="XER84" s="108"/>
      <c r="XES84" s="108"/>
      <c r="XET84" s="108"/>
      <c r="XEU84" s="108"/>
      <c r="XEV84" s="108"/>
      <c r="XEW84" s="108"/>
      <c r="XEX84" s="108"/>
      <c r="XEY84" s="108"/>
      <c r="XEZ84" s="108"/>
      <c r="XFA84" s="108"/>
      <c r="XFB84" s="108"/>
      <c r="XFC84" s="108"/>
      <c r="XFD84" s="108"/>
    </row>
    <row r="85" s="1" customFormat="1" ht="80" customHeight="1" collapsed="1" spans="1:16358">
      <c r="A85" s="157"/>
      <c r="B85" s="141"/>
      <c r="C85" s="237" t="s">
        <v>205</v>
      </c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80"/>
      <c r="AZ85" s="281"/>
      <c r="BA85" s="281"/>
      <c r="BB85" s="282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XDW85" s="13"/>
      <c r="XDX85" s="13"/>
      <c r="XDY85" s="13"/>
      <c r="XDZ85" s="13"/>
      <c r="XEA85" s="13"/>
      <c r="XEB85" s="13"/>
      <c r="XEC85" s="13"/>
      <c r="XED85" s="13"/>
    </row>
    <row r="86" s="1" customFormat="1" spans="1:16358">
      <c r="A86" s="157"/>
      <c r="B86" s="141"/>
      <c r="C86" s="141"/>
      <c r="D86" s="239"/>
      <c r="E86" s="143"/>
      <c r="F86" s="143"/>
      <c r="G86" s="143"/>
      <c r="H86" s="143"/>
      <c r="I86" s="143"/>
      <c r="J86" s="251"/>
      <c r="K86" s="252"/>
      <c r="L86" s="252"/>
      <c r="M86" s="252"/>
      <c r="N86" s="253"/>
      <c r="O86" s="253"/>
      <c r="P86" s="253"/>
      <c r="Q86" s="253"/>
      <c r="R86" s="252"/>
      <c r="S86" s="252"/>
      <c r="T86" s="252"/>
      <c r="U86" s="252"/>
      <c r="V86" s="252"/>
      <c r="W86" s="252"/>
      <c r="X86" s="252"/>
      <c r="Y86" s="252"/>
      <c r="Z86" s="261"/>
      <c r="AA86" s="252"/>
      <c r="AB86" s="252"/>
      <c r="AC86" s="253"/>
      <c r="AD86" s="253"/>
      <c r="AE86" s="252"/>
      <c r="AF86" s="251"/>
      <c r="AG86" s="251"/>
      <c r="AH86" s="251"/>
      <c r="AI86" s="143"/>
      <c r="AJ86" s="268"/>
      <c r="AK86" s="143"/>
      <c r="AL86" s="143"/>
      <c r="AM86" s="268"/>
      <c r="AN86" s="268"/>
      <c r="AO86" s="268"/>
      <c r="AP86" s="268"/>
      <c r="AQ86" s="268"/>
      <c r="AR86" s="268"/>
      <c r="AS86" s="268"/>
      <c r="AT86" s="268"/>
      <c r="AU86" s="271"/>
      <c r="AV86" s="268"/>
      <c r="AW86" s="268"/>
      <c r="AX86" s="143"/>
      <c r="AY86" s="143"/>
      <c r="AZ86" s="10"/>
      <c r="BA86" s="143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XDW86" s="13"/>
      <c r="XDX86" s="13"/>
      <c r="XDY86" s="13"/>
      <c r="XDZ86" s="13"/>
      <c r="XEA86" s="13"/>
      <c r="XEB86" s="13"/>
      <c r="XEC86" s="13"/>
      <c r="XED86" s="13"/>
    </row>
    <row r="87" s="7" customFormat="1" ht="16.5" hidden="1" spans="1:16384">
      <c r="A87" s="157"/>
      <c r="B87" s="141"/>
      <c r="C87" s="226"/>
      <c r="D87" s="228"/>
      <c r="E87" s="228"/>
      <c r="F87" s="228"/>
      <c r="G87" s="228">
        <v>1</v>
      </c>
      <c r="H87" s="240">
        <v>2</v>
      </c>
      <c r="I87" s="228">
        <v>3</v>
      </c>
      <c r="J87" s="240">
        <v>4</v>
      </c>
      <c r="K87" s="228">
        <v>5</v>
      </c>
      <c r="L87" s="240">
        <v>6</v>
      </c>
      <c r="M87" s="240"/>
      <c r="N87" s="228">
        <v>7</v>
      </c>
      <c r="O87" s="228"/>
      <c r="P87" s="240">
        <v>8</v>
      </c>
      <c r="Q87" s="240"/>
      <c r="R87" s="243">
        <v>9</v>
      </c>
      <c r="S87" s="254">
        <v>10</v>
      </c>
      <c r="T87" s="243">
        <v>11</v>
      </c>
      <c r="U87" s="254">
        <v>12</v>
      </c>
      <c r="V87" s="243">
        <v>13</v>
      </c>
      <c r="W87" s="254">
        <v>14</v>
      </c>
      <c r="X87" s="243"/>
      <c r="Y87" s="243"/>
      <c r="Z87" s="262"/>
      <c r="AA87" s="243"/>
      <c r="AB87" s="243"/>
      <c r="AC87" s="228"/>
      <c r="AD87" s="228">
        <v>15</v>
      </c>
      <c r="AE87" s="240">
        <v>16</v>
      </c>
      <c r="AF87" s="228">
        <v>17</v>
      </c>
      <c r="AG87" s="240">
        <v>18</v>
      </c>
      <c r="AH87" s="228">
        <v>19</v>
      </c>
      <c r="AI87" s="240">
        <v>20</v>
      </c>
      <c r="AJ87" s="228">
        <v>21</v>
      </c>
      <c r="AK87" s="240">
        <v>22</v>
      </c>
      <c r="AL87" s="228">
        <v>23</v>
      </c>
      <c r="AM87" s="254">
        <v>24</v>
      </c>
      <c r="AN87" s="243">
        <v>25</v>
      </c>
      <c r="AO87" s="254">
        <v>26</v>
      </c>
      <c r="AP87" s="243">
        <v>27</v>
      </c>
      <c r="AQ87" s="254">
        <v>28</v>
      </c>
      <c r="AR87" s="243">
        <v>29</v>
      </c>
      <c r="AS87" s="243"/>
      <c r="AT87" s="243"/>
      <c r="AU87" s="262"/>
      <c r="AV87" s="254"/>
      <c r="AW87" s="254"/>
      <c r="AX87" s="240"/>
      <c r="AY87" s="240">
        <v>30</v>
      </c>
      <c r="AZ87" s="136"/>
      <c r="BA87" s="283"/>
      <c r="BB87" s="131" t="e">
        <f>#REF!+1</f>
        <v>#REF!</v>
      </c>
      <c r="BC87" s="136" t="e">
        <f t="shared" ref="BB87:CC87" si="125">BB87+1</f>
        <v>#REF!</v>
      </c>
      <c r="BD87" s="136" t="e">
        <f t="shared" si="125"/>
        <v>#REF!</v>
      </c>
      <c r="BE87" s="136" t="e">
        <f t="shared" si="125"/>
        <v>#REF!</v>
      </c>
      <c r="BF87" s="136" t="e">
        <f t="shared" si="125"/>
        <v>#REF!</v>
      </c>
      <c r="BG87" s="137" t="e">
        <f t="shared" si="125"/>
        <v>#REF!</v>
      </c>
      <c r="BH87" s="136" t="e">
        <f t="shared" si="125"/>
        <v>#REF!</v>
      </c>
      <c r="BI87" s="136" t="e">
        <f t="shared" si="125"/>
        <v>#REF!</v>
      </c>
      <c r="BJ87" s="136" t="e">
        <f t="shared" si="125"/>
        <v>#REF!</v>
      </c>
      <c r="BK87" s="136" t="e">
        <f t="shared" si="125"/>
        <v>#REF!</v>
      </c>
      <c r="BL87" s="136" t="e">
        <f t="shared" si="125"/>
        <v>#REF!</v>
      </c>
      <c r="BM87" s="136" t="e">
        <f t="shared" si="125"/>
        <v>#REF!</v>
      </c>
      <c r="BN87" s="136" t="e">
        <f t="shared" si="125"/>
        <v>#REF!</v>
      </c>
      <c r="BO87" s="138" t="e">
        <f t="shared" si="125"/>
        <v>#REF!</v>
      </c>
      <c r="BP87" s="136" t="e">
        <f t="shared" si="125"/>
        <v>#REF!</v>
      </c>
      <c r="BQ87" s="139" t="e">
        <f t="shared" si="125"/>
        <v>#REF!</v>
      </c>
      <c r="BR87" s="139" t="e">
        <f t="shared" si="125"/>
        <v>#REF!</v>
      </c>
      <c r="BS87" s="136" t="e">
        <f t="shared" si="125"/>
        <v>#REF!</v>
      </c>
      <c r="BT87" s="136" t="e">
        <f t="shared" si="125"/>
        <v>#REF!</v>
      </c>
      <c r="BU87" s="136" t="e">
        <f t="shared" si="125"/>
        <v>#REF!</v>
      </c>
      <c r="BV87" s="136" t="e">
        <f t="shared" si="125"/>
        <v>#REF!</v>
      </c>
      <c r="BW87" s="136" t="e">
        <f t="shared" si="125"/>
        <v>#REF!</v>
      </c>
      <c r="BX87" s="136" t="e">
        <f t="shared" si="125"/>
        <v>#REF!</v>
      </c>
      <c r="BY87" s="136" t="e">
        <f t="shared" si="125"/>
        <v>#REF!</v>
      </c>
      <c r="BZ87" s="136" t="e">
        <f t="shared" si="125"/>
        <v>#REF!</v>
      </c>
      <c r="CA87" s="136" t="e">
        <f t="shared" si="125"/>
        <v>#REF!</v>
      </c>
      <c r="CB87" s="136" t="e">
        <f t="shared" si="125"/>
        <v>#REF!</v>
      </c>
      <c r="CC87" s="136" t="e">
        <f t="shared" si="125"/>
        <v>#REF!</v>
      </c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XDW87" s="140"/>
      <c r="XDX87" s="140"/>
      <c r="XDY87" s="140"/>
      <c r="XDZ87" s="140"/>
      <c r="XEA87" s="140"/>
      <c r="XEB87" s="140"/>
      <c r="XEC87" s="140"/>
      <c r="XED87" s="140"/>
      <c r="XEE87" s="140"/>
      <c r="XEF87" s="140"/>
      <c r="XEG87" s="140"/>
      <c r="XEH87" s="140"/>
      <c r="XEI87" s="140"/>
      <c r="XEJ87" s="140"/>
      <c r="XEK87" s="140"/>
      <c r="XEL87" s="140"/>
      <c r="XEM87" s="140"/>
      <c r="XEN87" s="140"/>
      <c r="XEO87" s="140"/>
      <c r="XEP87" s="140"/>
      <c r="XEQ87" s="140"/>
      <c r="XER87" s="140"/>
      <c r="XES87" s="140"/>
      <c r="XET87" s="140"/>
      <c r="XEU87" s="140"/>
      <c r="XEV87" s="140"/>
      <c r="XEW87" s="140"/>
      <c r="XEX87" s="140"/>
      <c r="XEY87" s="140"/>
      <c r="XEZ87" s="140"/>
      <c r="XFA87" s="140"/>
      <c r="XFB87" s="140"/>
      <c r="XFC87" s="140"/>
      <c r="XFD87" s="140"/>
    </row>
    <row r="88" s="1" customFormat="1" ht="18" hidden="1" customHeight="1" spans="1:16358">
      <c r="A88" s="157"/>
      <c r="B88" s="141"/>
      <c r="C88" s="113"/>
      <c r="D88" s="115"/>
      <c r="E88" s="116"/>
      <c r="F88" s="116"/>
      <c r="G88" s="115" t="s">
        <v>146</v>
      </c>
      <c r="H88" s="117">
        <f>SUMIF($E$7:$E$77,G88,$H$7:$H$77)</f>
        <v>4750000</v>
      </c>
      <c r="I88" s="117">
        <f>SUMIF($E$7:$E$77,$G$88,I7:I77)</f>
        <v>2290000</v>
      </c>
      <c r="J88" s="117">
        <f>SUMIF($E$7:$E$77,$G$88,J7:J77)</f>
        <v>0</v>
      </c>
      <c r="K88" s="117">
        <f>SUMIF($E$7:$E$77,$G$88,K7:K77)</f>
        <v>2243909</v>
      </c>
      <c r="L88" s="117">
        <f>SUMIF($E$7:$E$77,$G$88,L7:L77)</f>
        <v>2295498</v>
      </c>
      <c r="M88" s="117"/>
      <c r="N88" s="126">
        <f>K88/L88-1</f>
        <v>-0.0224739903933699</v>
      </c>
      <c r="O88" s="117">
        <f>SUMIF($E$7:$E$77,$G$88,O7:O77)</f>
        <v>46091</v>
      </c>
      <c r="P88" s="126">
        <f>K88/I88</f>
        <v>0.979872925764192</v>
      </c>
      <c r="Q88" s="126">
        <f>K88/H88</f>
        <v>0.472401894736842</v>
      </c>
      <c r="R88" s="255">
        <f>SUMIF($E$7:$E$77,$G$88,R7:R77)</f>
        <v>260486</v>
      </c>
      <c r="S88" s="255">
        <f>SUMIF($E$7:$E$77,$G$88,S7:S77)</f>
        <v>279314</v>
      </c>
      <c r="T88" s="255">
        <f>SUMIF($E$7:$E$77,$G$88,T7:T77)</f>
        <v>292830</v>
      </c>
      <c r="U88" s="255">
        <f>SUMIF($E$7:$E$77,$G$88,U7:U77)</f>
        <v>0</v>
      </c>
      <c r="V88" s="255">
        <f>SUMIF($E$7:$E$77,$G$88,V7:V77)</f>
        <v>0</v>
      </c>
      <c r="W88" s="255">
        <f>SUMIF($E$7:$E$77,$G$88,W7:W77)</f>
        <v>0</v>
      </c>
      <c r="X88" s="255">
        <f>SUMIF($E$7:$E$77,$G$88,X7:X77)</f>
        <v>3076539</v>
      </c>
      <c r="Y88" s="255">
        <f>SUMIF($E$7:$E$77,$G$88,Y7:Y77)</f>
        <v>3000000</v>
      </c>
      <c r="Z88" s="263"/>
      <c r="AA88" s="255">
        <f>SUMIF($E$7:$E$77,$G$88,AA7:AA77)</f>
        <v>2925187</v>
      </c>
      <c r="AB88" s="255">
        <f>Y88-AA88</f>
        <v>74813</v>
      </c>
      <c r="AC88" s="264">
        <f t="shared" ref="AC88:AC96" si="126">Y88/AA88-1</f>
        <v>0.0255754589364714</v>
      </c>
      <c r="AD88" s="126">
        <f t="shared" ref="AD88:AV88" si="127">SUMIF($E$7:$E$77,$G$88,AD7:AD77)</f>
        <v>0.631578947368421</v>
      </c>
      <c r="AE88" s="117">
        <f t="shared" si="127"/>
        <v>-46091</v>
      </c>
      <c r="AF88" s="117">
        <f t="shared" si="127"/>
        <v>100000</v>
      </c>
      <c r="AG88" s="117">
        <f t="shared" si="127"/>
        <v>42000</v>
      </c>
      <c r="AH88" s="117">
        <f t="shared" si="127"/>
        <v>40049</v>
      </c>
      <c r="AI88" s="117">
        <f t="shared" si="127"/>
        <v>0</v>
      </c>
      <c r="AJ88" s="117">
        <f t="shared" si="127"/>
        <v>42089</v>
      </c>
      <c r="AK88" s="132">
        <f t="shared" ref="AK88:AK95" si="128">AJ88/AH88-1</f>
        <v>0.0509376014382381</v>
      </c>
      <c r="AL88" s="126">
        <f t="shared" si="127"/>
        <v>1.00211904761905</v>
      </c>
      <c r="AM88" s="255">
        <f t="shared" si="127"/>
        <v>5697</v>
      </c>
      <c r="AN88" s="255">
        <f t="shared" si="127"/>
        <v>6708</v>
      </c>
      <c r="AO88" s="255">
        <f t="shared" si="127"/>
        <v>1599</v>
      </c>
      <c r="AP88" s="255">
        <f t="shared" si="127"/>
        <v>0</v>
      </c>
      <c r="AQ88" s="255">
        <f t="shared" si="127"/>
        <v>0</v>
      </c>
      <c r="AR88" s="255">
        <f t="shared" si="127"/>
        <v>0</v>
      </c>
      <c r="AS88" s="255">
        <f t="shared" si="127"/>
        <v>56250</v>
      </c>
      <c r="AT88" s="255">
        <f t="shared" si="127"/>
        <v>52000</v>
      </c>
      <c r="AU88" s="263"/>
      <c r="AV88" s="255">
        <f>SUMIF($E$7:$E$77,$G$88,AV7:AV77)</f>
        <v>49270</v>
      </c>
      <c r="AW88" s="255">
        <f>SUMIF($E$7:$E$77,$G$88,AW7:AW77)</f>
        <v>2730</v>
      </c>
      <c r="AX88" s="284">
        <f t="shared" ref="AX88:AX96" si="129">(AT88-AV88)/ABS(AV88)</f>
        <v>0.0554089709762533</v>
      </c>
      <c r="AY88" s="126">
        <f>SUMIF($E$7:$E$77,$G$88,AY7:AY77)</f>
        <v>0.52</v>
      </c>
      <c r="AZ88" s="133"/>
      <c r="BA88" s="285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XDW88" s="13"/>
      <c r="XDX88" s="13"/>
      <c r="XDY88" s="13"/>
      <c r="XDZ88" s="13"/>
      <c r="XEA88" s="13"/>
      <c r="XEB88" s="13"/>
      <c r="XEC88" s="13"/>
      <c r="XED88" s="13"/>
    </row>
    <row r="89" s="1" customFormat="1" ht="18" hidden="1" customHeight="1" spans="1:16358">
      <c r="A89" s="157"/>
      <c r="B89" s="141"/>
      <c r="C89" s="113"/>
      <c r="D89" s="54" t="s">
        <v>155</v>
      </c>
      <c r="E89" s="33"/>
      <c r="F89" s="33"/>
      <c r="G89" s="118" t="s">
        <v>158</v>
      </c>
      <c r="H89" s="119">
        <f>SUMIF($E$7:$E$77,$G$89,H7:H77)-H18-H22</f>
        <v>725300</v>
      </c>
      <c r="I89" s="119">
        <f>SUMIF($E$7:$E$77,$G$89,I7:I77)-I18-I22</f>
        <v>256500</v>
      </c>
      <c r="J89" s="119">
        <f>SUMIF($E$7:$E$77,$G$89,J7:J77)-J18-J22</f>
        <v>204000</v>
      </c>
      <c r="K89" s="119">
        <f>SUMIF($E$7:$E$77,$G$89,K7:K77)-K18-K22</f>
        <v>196475</v>
      </c>
      <c r="L89" s="119">
        <f>SUMIF($E$7:$E$77,$G$89,L7:L77)-L18-L22</f>
        <v>319691</v>
      </c>
      <c r="M89" s="61">
        <f t="shared" ref="M89:M96" si="130">K89-L89</f>
        <v>-123216</v>
      </c>
      <c r="N89" s="127">
        <f t="shared" ref="N89:N96" si="131">K89/L89-1</f>
        <v>-0.385422173286079</v>
      </c>
      <c r="O89" s="119">
        <f>SUMIF($E$7:$E$77,$G$89,O7:O77)-O18-O22</f>
        <v>73460</v>
      </c>
      <c r="P89" s="126">
        <f t="shared" ref="P89:P96" si="132">K89/I89</f>
        <v>0.76598440545809</v>
      </c>
      <c r="Q89" s="126">
        <f t="shared" ref="Q89:Q96" si="133">K89/H89</f>
        <v>0.270887908451675</v>
      </c>
      <c r="R89" s="119">
        <f>SUMIF($E$7:$E$77,$G$89,R7:R77)-R18-R22</f>
        <v>23355</v>
      </c>
      <c r="S89" s="119">
        <f>SUMIF($E$7:$E$77,$G$89,S7:S77)-S18-S22</f>
        <v>28735</v>
      </c>
      <c r="T89" s="119">
        <f>SUMIF($E$7:$E$77,$G$89,T7:T77)-T18-T22</f>
        <v>28685</v>
      </c>
      <c r="U89" s="256">
        <f>SUMIF($E$7:$E$77,$G$89,U7:U77)</f>
        <v>284813</v>
      </c>
      <c r="V89" s="256">
        <f>SUMIF($E$7:$E$77,$G$89,V7:V77)</f>
        <v>453484.948576</v>
      </c>
      <c r="W89" s="256">
        <f>SUMIF($E$7:$E$77,$G$89,W7:W77)</f>
        <v>0</v>
      </c>
      <c r="X89" s="119">
        <f>SUMIF($E$7:$E$77,$G$89,X7:X77)-X18-X22</f>
        <v>277250</v>
      </c>
      <c r="Y89" s="119">
        <f>SUMIF($E$7:$E$77,$G$89,Y7:Y77)-Y18-Y22</f>
        <v>346610</v>
      </c>
      <c r="Z89" s="265"/>
      <c r="AA89" s="119">
        <f>SUMIF($E$7:$E$77,$G$89,AA7:AA77)-AA18-AA22</f>
        <v>440004</v>
      </c>
      <c r="AB89" s="119">
        <f>Y89-AA89</f>
        <v>-93394</v>
      </c>
      <c r="AC89" s="122">
        <f t="shared" si="126"/>
        <v>-0.212257161298534</v>
      </c>
      <c r="AD89" s="127">
        <f t="shared" ref="AD89:AT89" si="134">SUMIF($E$7:$E$77,$G$89,AD7:AD77)</f>
        <v>4.16595009331582</v>
      </c>
      <c r="AE89" s="119">
        <f t="shared" si="134"/>
        <v>-42130</v>
      </c>
      <c r="AF89" s="119">
        <f>SUMIF($E$7:$E$77,$G$89,AF7:AF77)-AF18-AF22</f>
        <v>54400</v>
      </c>
      <c r="AG89" s="119">
        <f t="shared" si="134"/>
        <v>5220</v>
      </c>
      <c r="AH89" s="119">
        <f>SUMIF($E$7:$E$77,$G$89,AH7:AH77)-AH18-AH22</f>
        <v>23054</v>
      </c>
      <c r="AI89" s="119">
        <f t="shared" si="134"/>
        <v>1930</v>
      </c>
      <c r="AJ89" s="119">
        <f>SUMIF($E$7:$E$77,$G$89,AJ7:AJ77)-AJ18-AJ22</f>
        <v>2163</v>
      </c>
      <c r="AK89" s="134">
        <f t="shared" si="128"/>
        <v>-0.906176802290275</v>
      </c>
      <c r="AL89" s="127">
        <f t="shared" si="134"/>
        <v>5.93614963272543</v>
      </c>
      <c r="AM89" s="256">
        <f>SUMIF($E$7:$E$77,$G$89,AM7:AM77)-AM18-AM22</f>
        <v>349</v>
      </c>
      <c r="AN89" s="256">
        <f>SUMIF($E$7:$E$77,$G$89,AN7:AN77)-AN18-AN22</f>
        <v>1364</v>
      </c>
      <c r="AO89" s="256">
        <f>SUMIF($E$7:$E$77,$G$89,AO7:AO77)-AO18-AO22</f>
        <v>-948</v>
      </c>
      <c r="AP89" s="256">
        <f t="shared" si="134"/>
        <v>2512</v>
      </c>
      <c r="AQ89" s="256">
        <f t="shared" si="134"/>
        <v>24333.500555</v>
      </c>
      <c r="AR89" s="256">
        <f t="shared" si="134"/>
        <v>0</v>
      </c>
      <c r="AS89" s="256">
        <f>SUMIF($E$7:$E$77,$G$89,AS7:AS77)-AS18-AS22</f>
        <v>2928</v>
      </c>
      <c r="AT89" s="256">
        <f>SUMIF($E$7:$E$77,$G$89,AT7:AT77)-AT18-AT22</f>
        <v>10500</v>
      </c>
      <c r="AU89" s="263"/>
      <c r="AV89" s="256">
        <f>SUMIF($E$7:$E$77,$G$89,AV7:AV77)-AV18-AV22</f>
        <v>31769</v>
      </c>
      <c r="AW89" s="256">
        <f>SUMIF($E$7:$E$77,$G$89,AW7:AW77)-AW18-AW22</f>
        <v>-21269</v>
      </c>
      <c r="AX89" s="277">
        <f t="shared" si="129"/>
        <v>-0.669489124618339</v>
      </c>
      <c r="AY89" s="127">
        <f>SUMIF($E$7:$E$77,$G$89,AY7:AY77)</f>
        <v>3.42076207885362</v>
      </c>
      <c r="AZ89" s="135"/>
      <c r="BA89" s="286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XDW89" s="13"/>
      <c r="XDX89" s="13"/>
      <c r="XDY89" s="13"/>
      <c r="XDZ89" s="13"/>
      <c r="XEA89" s="13"/>
      <c r="XEB89" s="13"/>
      <c r="XEC89" s="13"/>
      <c r="XED89" s="13"/>
    </row>
    <row r="90" s="1" customFormat="1" ht="18" hidden="1" customHeight="1" spans="1:16358">
      <c r="A90" s="157"/>
      <c r="B90" s="141"/>
      <c r="C90" s="113"/>
      <c r="D90" s="54" t="s">
        <v>206</v>
      </c>
      <c r="E90" s="33"/>
      <c r="F90" s="33"/>
      <c r="G90" s="118" t="s">
        <v>167</v>
      </c>
      <c r="H90" s="119">
        <f>SUMIF($E$7:$E$77,$G$90,H7:H77)</f>
        <v>459000</v>
      </c>
      <c r="I90" s="119">
        <f>SUMIF($E$7:$E$77,$G$90,I7:I77)</f>
        <v>186500</v>
      </c>
      <c r="J90" s="119">
        <f>SUMIF($E$7:$E$77,$G$90,J7:J77)</f>
        <v>161128</v>
      </c>
      <c r="K90" s="119">
        <f>SUMIF($E$7:$E$77,$G$90,K7:K77)</f>
        <v>156006</v>
      </c>
      <c r="L90" s="119">
        <f>SUMIF($E$7:$E$77,$G$90,L7:L77)</f>
        <v>153966</v>
      </c>
      <c r="M90" s="61">
        <f t="shared" si="130"/>
        <v>2040</v>
      </c>
      <c r="N90" s="127">
        <f t="shared" si="131"/>
        <v>0.0132496785004481</v>
      </c>
      <c r="O90" s="119">
        <f>SUMIF($E$7:$E$77,$G$90,O7:O77)</f>
        <v>47318</v>
      </c>
      <c r="P90" s="126">
        <f t="shared" si="132"/>
        <v>0.836493297587131</v>
      </c>
      <c r="Q90" s="126">
        <f t="shared" si="133"/>
        <v>0.339882352941176</v>
      </c>
      <c r="R90" s="119">
        <f>SUMIF($E$7:$E$77,$G$90,R7:R77)</f>
        <v>29366</v>
      </c>
      <c r="S90" s="119">
        <f>SUMIF($E$7:$E$77,$G$90,S7:S77)</f>
        <v>33190</v>
      </c>
      <c r="T90" s="119">
        <f>SUMIF($E$7:$E$77,$G$90,T7:T77)</f>
        <v>33940</v>
      </c>
      <c r="U90" s="256">
        <f>SUMIF($E$7:$E$77,$G$90,U7:U77)</f>
        <v>185372</v>
      </c>
      <c r="V90" s="256">
        <f>SUMIF($E$7:$E$77,$G$90,V7:V77)</f>
        <v>0</v>
      </c>
      <c r="W90" s="256">
        <f>SUMIF($E$7:$E$77,$G$90,W7:W77)</f>
        <v>0</v>
      </c>
      <c r="X90" s="119">
        <f>SUMIF($E$7:$E$77,$G$90,X7:X77)</f>
        <v>252502</v>
      </c>
      <c r="Y90" s="119">
        <f>SUMIF($E$7:$E$77,$G$90,Y7:Y77)</f>
        <v>262820</v>
      </c>
      <c r="Z90" s="265"/>
      <c r="AA90" s="119">
        <f>SUMIF($E$7:$E$77,$G$90,AA7:AA77)</f>
        <v>248146</v>
      </c>
      <c r="AB90" s="119">
        <f t="shared" ref="AB90:AB96" si="135">Y90-AA90</f>
        <v>14674</v>
      </c>
      <c r="AC90" s="122">
        <f t="shared" si="126"/>
        <v>0.0591345417617049</v>
      </c>
      <c r="AD90" s="127">
        <f t="shared" ref="AD90:AV90" si="136">SUMIF($E$7:$E$77,$G$90,AD7:AD77)</f>
        <v>1.48581072935503</v>
      </c>
      <c r="AE90" s="119">
        <f t="shared" si="136"/>
        <v>-47318</v>
      </c>
      <c r="AF90" s="119">
        <f t="shared" si="136"/>
        <v>19300</v>
      </c>
      <c r="AG90" s="119">
        <f t="shared" si="136"/>
        <v>6060</v>
      </c>
      <c r="AH90" s="119">
        <f t="shared" si="136"/>
        <v>3899</v>
      </c>
      <c r="AI90" s="119">
        <f t="shared" si="136"/>
        <v>3400</v>
      </c>
      <c r="AJ90" s="119">
        <f t="shared" si="136"/>
        <v>3482</v>
      </c>
      <c r="AK90" s="134">
        <f t="shared" si="128"/>
        <v>-0.106950500128238</v>
      </c>
      <c r="AL90" s="127">
        <f t="shared" si="136"/>
        <v>-3.64392156862745</v>
      </c>
      <c r="AM90" s="256">
        <f t="shared" si="136"/>
        <v>798</v>
      </c>
      <c r="AN90" s="256">
        <f t="shared" si="136"/>
        <v>1665</v>
      </c>
      <c r="AO90" s="256">
        <f t="shared" si="136"/>
        <v>1429</v>
      </c>
      <c r="AP90" s="256">
        <f t="shared" si="136"/>
        <v>4280</v>
      </c>
      <c r="AQ90" s="256">
        <f t="shared" si="136"/>
        <v>0</v>
      </c>
      <c r="AR90" s="256">
        <f t="shared" si="136"/>
        <v>0</v>
      </c>
      <c r="AS90" s="256">
        <f t="shared" si="136"/>
        <v>7531</v>
      </c>
      <c r="AT90" s="256">
        <f t="shared" si="136"/>
        <v>3200</v>
      </c>
      <c r="AU90" s="263"/>
      <c r="AV90" s="256">
        <f>SUMIF($E$7:$E$77,$G$90,AV7:AV77)</f>
        <v>6759.47</v>
      </c>
      <c r="AW90" s="256">
        <f>SUMIF($E$7:$E$77,$G$90,AW7:AW77)</f>
        <v>-3559.47</v>
      </c>
      <c r="AX90" s="277">
        <f t="shared" si="129"/>
        <v>-0.526590102478449</v>
      </c>
      <c r="AY90" s="127">
        <f>SUMIF($E$7:$E$77,$G$90,AY7:AY77)</f>
        <v>0.493684210526316</v>
      </c>
      <c r="AZ90" s="135"/>
      <c r="BA90" s="286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XDW90" s="13"/>
      <c r="XDX90" s="13"/>
      <c r="XDY90" s="13"/>
      <c r="XDZ90" s="13"/>
      <c r="XEA90" s="13"/>
      <c r="XEB90" s="13"/>
      <c r="XEC90" s="13"/>
      <c r="XED90" s="13"/>
    </row>
    <row r="91" s="1" customFormat="1" ht="18" hidden="1" customHeight="1" spans="1:16358">
      <c r="A91" s="157"/>
      <c r="B91" s="141"/>
      <c r="C91" s="113"/>
      <c r="D91" s="54" t="s">
        <v>207</v>
      </c>
      <c r="E91" s="33"/>
      <c r="F91" s="33"/>
      <c r="G91" s="118" t="s">
        <v>179</v>
      </c>
      <c r="H91" s="119">
        <f>SUMIF($E$7:$E$77,$G$91,H7:H77)-H41-H46</f>
        <v>655000</v>
      </c>
      <c r="I91" s="119">
        <f>SUMIF($E$7:$E$77,$G$91,I7:I77)-I41-I46</f>
        <v>243700</v>
      </c>
      <c r="J91" s="119">
        <f>SUMIF($E$7:$E$77,$G$91,J7:J77)-J41-J46</f>
        <v>195000</v>
      </c>
      <c r="K91" s="119">
        <f>SUMIF($E$7:$E$77,$G$91,K7:K77)-K41-K46</f>
        <v>238693</v>
      </c>
      <c r="L91" s="119">
        <f>SUMIF($E$7:$E$77,$G$91,L7:L77)-L41-L46</f>
        <v>188905</v>
      </c>
      <c r="M91" s="61">
        <f t="shared" si="130"/>
        <v>49788</v>
      </c>
      <c r="N91" s="127">
        <f t="shared" si="131"/>
        <v>0.263561049204627</v>
      </c>
      <c r="O91" s="119">
        <f>SUMIF($E$7:$E$77,$G$91,O7:O77)-O41-O46</f>
        <v>4621</v>
      </c>
      <c r="P91" s="126">
        <f t="shared" si="132"/>
        <v>0.979454247025031</v>
      </c>
      <c r="Q91" s="126">
        <f t="shared" si="133"/>
        <v>0.36441679389313</v>
      </c>
      <c r="R91" s="119">
        <f>SUMIF($E$7:$E$77,$G$91,R7:R77)-R41-R46</f>
        <v>16312</v>
      </c>
      <c r="S91" s="119">
        <f>SUMIF($E$7:$E$77,$G$91,S7:S77)-S41-S46</f>
        <v>22738</v>
      </c>
      <c r="T91" s="119">
        <f>SUMIF($E$7:$E$77,$G$91,T7:T77)-T41-T46</f>
        <v>19518</v>
      </c>
      <c r="U91" s="256">
        <f>SUMIF($E$7:$E$77,$G$91,U7:U77)</f>
        <v>400391</v>
      </c>
      <c r="V91" s="256">
        <f>SUMIF($E$7:$E$77,$G$91,V7:V77)</f>
        <v>0</v>
      </c>
      <c r="W91" s="256">
        <f>SUMIF($E$7:$E$77,$G$91,W7:W77)</f>
        <v>0</v>
      </c>
      <c r="X91" s="119">
        <f>SUMIF($E$7:$E$77,$G$91,X7:X77)-X41-X46</f>
        <v>297261</v>
      </c>
      <c r="Y91" s="119">
        <f>SUMIF($E$7:$E$77,$G$91,Y7:Y77)-Y41-Y46</f>
        <v>367600</v>
      </c>
      <c r="Z91" s="265"/>
      <c r="AA91" s="119">
        <f>SUMIF($E$7:$E$77,$G$91,AA7:AA77)-AA41-AA46</f>
        <v>282273.8</v>
      </c>
      <c r="AB91" s="119">
        <f t="shared" si="135"/>
        <v>85326.2</v>
      </c>
      <c r="AC91" s="122">
        <f t="shared" si="126"/>
        <v>0.302281685370729</v>
      </c>
      <c r="AD91" s="127">
        <f t="shared" ref="AD91:AT91" si="137">SUMIF($E$7:$E$77,$G$91,AD7:AD77)</f>
        <v>1.21451831750339</v>
      </c>
      <c r="AE91" s="119">
        <f t="shared" si="137"/>
        <v>-3616</v>
      </c>
      <c r="AF91" s="119">
        <f>SUMIF($E$7:$E$77,$G$91,AF7:AF77)-AF41-AF46</f>
        <v>12700</v>
      </c>
      <c r="AG91" s="119">
        <f t="shared" si="137"/>
        <v>3450</v>
      </c>
      <c r="AH91" s="119">
        <f>SUMIF($E$7:$E$77,$G$91,AH7:AH77)-AH41-AH46</f>
        <v>2131</v>
      </c>
      <c r="AI91" s="119">
        <f t="shared" si="137"/>
        <v>1850</v>
      </c>
      <c r="AJ91" s="119">
        <f>SUMIF($E$7:$E$77,$G$91,AJ7:AJ77)-AJ41-AJ46</f>
        <v>3254</v>
      </c>
      <c r="AK91" s="134">
        <f t="shared" si="128"/>
        <v>0.526982637259503</v>
      </c>
      <c r="AL91" s="127">
        <f t="shared" si="137"/>
        <v>1.91094594594595</v>
      </c>
      <c r="AM91" s="256">
        <f>SUMIF($E$7:$E$77,$G$91,AM7:AM77)-AM41-AM46</f>
        <v>222</v>
      </c>
      <c r="AN91" s="256">
        <f>SUMIF($E$7:$E$77,$G$91,AN7:AN77)-AN41-AN46</f>
        <v>262</v>
      </c>
      <c r="AO91" s="256">
        <f>SUMIF($E$7:$E$77,$G$91,AO7:AO77)-AO41-AO46</f>
        <v>257</v>
      </c>
      <c r="AP91" s="256">
        <f t="shared" si="137"/>
        <v>3476</v>
      </c>
      <c r="AQ91" s="256">
        <f t="shared" si="137"/>
        <v>0</v>
      </c>
      <c r="AR91" s="256">
        <f t="shared" si="137"/>
        <v>0</v>
      </c>
      <c r="AS91" s="256">
        <f>SUMIF($E$7:$E$77,$G$91,AS7:AS77)-AS41-AS46</f>
        <v>3995</v>
      </c>
      <c r="AT91" s="256">
        <f>SUMIF($E$7:$E$77,$G$91,AT7:AT77)-AT41-AT46</f>
        <v>4500</v>
      </c>
      <c r="AU91" s="263"/>
      <c r="AV91" s="256">
        <f>SUMIF($E$7:$E$77,$G$91,AV7:AV77)-AV41-AV46</f>
        <v>3737</v>
      </c>
      <c r="AW91" s="256">
        <f>SUMIF($E$7:$E$77,$G$91,AW7:AW77)-AW41-AW46</f>
        <v>763</v>
      </c>
      <c r="AX91" s="277">
        <f t="shared" si="129"/>
        <v>0.204174471501204</v>
      </c>
      <c r="AY91" s="127">
        <f>SUMIF($E$7:$E$77,$G$91,AY7:AY77)</f>
        <v>0.723880597014925</v>
      </c>
      <c r="AZ91" s="135"/>
      <c r="BA91" s="286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XDW91" s="13"/>
      <c r="XDX91" s="13"/>
      <c r="XDY91" s="13"/>
      <c r="XDZ91" s="13"/>
      <c r="XEA91" s="13"/>
      <c r="XEB91" s="13"/>
      <c r="XEC91" s="13"/>
      <c r="XED91" s="13"/>
    </row>
    <row r="92" s="1" customFormat="1" ht="18" hidden="1" customHeight="1" spans="1:16358">
      <c r="A92" s="157"/>
      <c r="B92" s="141"/>
      <c r="C92" s="113"/>
      <c r="D92" s="54" t="s">
        <v>7</v>
      </c>
      <c r="E92" s="33"/>
      <c r="F92" s="33"/>
      <c r="G92" s="118" t="s">
        <v>188</v>
      </c>
      <c r="H92" s="119">
        <f>SUMIF($E$7:$E$77,$G$92,H7:H77)-H54</f>
        <v>863000</v>
      </c>
      <c r="I92" s="119">
        <f>SUMIF($E$7:$E$77,$G$92,I7:I77)-I54</f>
        <v>372500</v>
      </c>
      <c r="J92" s="119">
        <f>SUMIF($E$7:$E$77,$G$92,J7:J77)-J54</f>
        <v>0</v>
      </c>
      <c r="K92" s="119">
        <f>SUMIF($E$7:$E$77,$G$92,K7:K77)-K54</f>
        <v>363766</v>
      </c>
      <c r="L92" s="119">
        <f>SUMIF($E$7:$E$77,$G$92,L7:L77)-L54</f>
        <v>308180</v>
      </c>
      <c r="M92" s="61">
        <f t="shared" si="130"/>
        <v>55586</v>
      </c>
      <c r="N92" s="127">
        <f t="shared" si="131"/>
        <v>0.180368615744046</v>
      </c>
      <c r="O92" s="119">
        <f>SUMIF($E$7:$E$77,$G$92,O7:O77)-O54</f>
        <v>20022</v>
      </c>
      <c r="P92" s="126">
        <f t="shared" si="132"/>
        <v>0.976553020134228</v>
      </c>
      <c r="Q92" s="126">
        <f t="shared" si="133"/>
        <v>0.421513325608343</v>
      </c>
      <c r="R92" s="119">
        <f>SUMIF($E$7:$E$77,$G$92,R7:R77)-R54</f>
        <v>71701</v>
      </c>
      <c r="S92" s="119">
        <f>SUMIF($E$7:$E$77,$G$92,S7:S77)-S54</f>
        <v>74375</v>
      </c>
      <c r="T92" s="119">
        <f>SUMIF($E$7:$E$77,$G$92,T7:T77)-T54</f>
        <v>75770</v>
      </c>
      <c r="U92" s="256">
        <f>SUMIF($E$7:$E$77,$G$92,U7:U77)</f>
        <v>689413</v>
      </c>
      <c r="V92" s="256">
        <f>SUMIF($E$7:$E$77,$G$92,V7:V77)</f>
        <v>0</v>
      </c>
      <c r="W92" s="256">
        <f>SUMIF($E$7:$E$77,$G$92,W7:W77)</f>
        <v>0</v>
      </c>
      <c r="X92" s="119">
        <f>SUMIF($E$7:$E$77,$G$92,X7:X77)-X54</f>
        <v>585612</v>
      </c>
      <c r="Y92" s="119">
        <f>SUMIF($E$7:$E$77,$G$92,Y7:Y77)-Y54</f>
        <v>594000</v>
      </c>
      <c r="Z92" s="265"/>
      <c r="AA92" s="119">
        <f>SUMIF($E$7:$E$77,$G$92,AA7:AA77)-AA54</f>
        <v>440183</v>
      </c>
      <c r="AB92" s="119">
        <f t="shared" si="135"/>
        <v>153817</v>
      </c>
      <c r="AC92" s="122">
        <f t="shared" si="126"/>
        <v>0.349438756153691</v>
      </c>
      <c r="AD92" s="127">
        <f t="shared" ref="AD92:AT92" si="138">SUMIF($E$7:$E$77,$G$92,AD7:AD77)</f>
        <v>3.43726708074534</v>
      </c>
      <c r="AE92" s="119">
        <f t="shared" si="138"/>
        <v>-20022</v>
      </c>
      <c r="AF92" s="119">
        <f>SUMIF($E$7:$E$77,$G$92,AF7:AF77)-AF54</f>
        <v>60000</v>
      </c>
      <c r="AG92" s="119">
        <f t="shared" si="138"/>
        <v>30168</v>
      </c>
      <c r="AH92" s="119">
        <f>SUMIF($E$7:$E$77,$G$92,AH7:AH77)-AH54</f>
        <v>19936</v>
      </c>
      <c r="AI92" s="119">
        <f t="shared" si="138"/>
        <v>22900</v>
      </c>
      <c r="AJ92" s="119">
        <f>SUMIF($E$7:$E$77,$G$92,AJ7:AJ77)-AJ54</f>
        <v>31359</v>
      </c>
      <c r="AK92" s="134">
        <f t="shared" si="128"/>
        <v>0.572983547351525</v>
      </c>
      <c r="AL92" s="127">
        <f t="shared" si="138"/>
        <v>3.0077225907907</v>
      </c>
      <c r="AM92" s="256">
        <f>SUMIF($E$7:$E$77,$G$92,AM7:AM77)-AM54</f>
        <v>4010</v>
      </c>
      <c r="AN92" s="256">
        <f>SUMIF($E$7:$E$77,$G$92,AN7:AN77)-AN54</f>
        <v>4364</v>
      </c>
      <c r="AO92" s="256">
        <f>SUMIF($E$7:$E$77,$G$92,AO7:AO77)-AO54</f>
        <v>4661</v>
      </c>
      <c r="AP92" s="256">
        <f t="shared" si="138"/>
        <v>35369</v>
      </c>
      <c r="AQ92" s="256">
        <f t="shared" si="138"/>
        <v>0</v>
      </c>
      <c r="AR92" s="256">
        <f t="shared" si="138"/>
        <v>0</v>
      </c>
      <c r="AS92" s="256">
        <f>SUMIF($E$7:$E$77,$G$92,AS7:AS77)-AS54</f>
        <v>44394</v>
      </c>
      <c r="AT92" s="256">
        <f>SUMIF($E$7:$E$77,$G$92,AT7:AT77)-AT54</f>
        <v>45460</v>
      </c>
      <c r="AU92" s="263"/>
      <c r="AV92" s="256">
        <f>SUMIF($E$7:$E$77,$G$92,AV7:AV77)-AV54</f>
        <v>33072</v>
      </c>
      <c r="AW92" s="256">
        <f>SUMIF($E$7:$E$77,$G$92,AW7:AW77)-AW54</f>
        <v>12388</v>
      </c>
      <c r="AX92" s="277">
        <f t="shared" si="129"/>
        <v>0.374576681180455</v>
      </c>
      <c r="AY92" s="127">
        <f>SUMIF($E$7:$E$77,$G$92,AY7:AY77)</f>
        <v>2.15319238900634</v>
      </c>
      <c r="AZ92" s="135"/>
      <c r="BA92" s="286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XDW92" s="13"/>
      <c r="XDX92" s="13"/>
      <c r="XDY92" s="13"/>
      <c r="XDZ92" s="13"/>
      <c r="XEA92" s="13"/>
      <c r="XEB92" s="13"/>
      <c r="XEC92" s="13"/>
      <c r="XED92" s="13"/>
    </row>
    <row r="93" s="1" customFormat="1" ht="18" hidden="1" customHeight="1" spans="1:16358">
      <c r="A93" s="157"/>
      <c r="B93" s="141"/>
      <c r="C93" s="113"/>
      <c r="D93" s="54" t="s">
        <v>190</v>
      </c>
      <c r="E93" s="33"/>
      <c r="F93" s="33"/>
      <c r="G93" s="118" t="s">
        <v>174</v>
      </c>
      <c r="H93" s="119">
        <f>SUMIF($E$7:$E$77,$G$93,H7:H77)</f>
        <v>30000</v>
      </c>
      <c r="I93" s="119">
        <f>SUMIF($E$7:$E$77,$G$93,I7:I77)</f>
        <v>6200</v>
      </c>
      <c r="J93" s="119">
        <f>SUMIF($E$7:$E$77,$G$93,J7:J77)</f>
        <v>0</v>
      </c>
      <c r="K93" s="119">
        <f>SUMIF($E$7:$E$77,$G$93,K7:K77)</f>
        <v>5481</v>
      </c>
      <c r="L93" s="119">
        <f>SUMIF($E$7:$E$77,$G$93,L7:L77)</f>
        <v>4517</v>
      </c>
      <c r="M93" s="61">
        <f t="shared" si="130"/>
        <v>964</v>
      </c>
      <c r="N93" s="127">
        <f t="shared" si="131"/>
        <v>0.213415984060217</v>
      </c>
      <c r="O93" s="119">
        <f>SUMIF($E$7:$E$77,$G$93,O7:O77)</f>
        <v>735</v>
      </c>
      <c r="P93" s="126">
        <f t="shared" si="132"/>
        <v>0.884032258064516</v>
      </c>
      <c r="Q93" s="126">
        <f t="shared" si="133"/>
        <v>0.1827</v>
      </c>
      <c r="R93" s="119">
        <f>SUMIF($E$7:$E$77,$G$93,R7:R77)</f>
        <v>696</v>
      </c>
      <c r="S93" s="119">
        <f>SUMIF($E$7:$E$77,$G$93,S7:S77)</f>
        <v>1183</v>
      </c>
      <c r="T93" s="119">
        <f>SUMIF($E$7:$E$77,$G$93,T7:T77)</f>
        <v>1372</v>
      </c>
      <c r="U93" s="256">
        <f>SUMIF($E$7:$E$77,$G$93,U7:U77)</f>
        <v>6177</v>
      </c>
      <c r="V93" s="256">
        <f>SUMIF($E$7:$E$77,$G$93,V7:V77)</f>
        <v>0</v>
      </c>
      <c r="W93" s="256">
        <f>SUMIF($E$7:$E$77,$G$93,W7:W77)</f>
        <v>0</v>
      </c>
      <c r="X93" s="119">
        <f>SUMIF($E$7:$E$77,$G$93,X7:X77)</f>
        <v>8732</v>
      </c>
      <c r="Y93" s="119">
        <f>SUMIF($E$7:$E$77,$G$93,Y7:Y77)</f>
        <v>8000</v>
      </c>
      <c r="Z93" s="265"/>
      <c r="AA93" s="119">
        <f>SUMIF($E$7:$E$77,$G$93,AA7:AA77)</f>
        <v>6985</v>
      </c>
      <c r="AB93" s="119">
        <f t="shared" si="135"/>
        <v>1015</v>
      </c>
      <c r="AC93" s="122">
        <f t="shared" si="126"/>
        <v>0.145311381531854</v>
      </c>
      <c r="AD93" s="127">
        <f t="shared" ref="AD93:AV93" si="139">SUMIF($E$7:$E$77,$G$93,AD7:AD77)</f>
        <v>0.4</v>
      </c>
      <c r="AE93" s="119">
        <f t="shared" si="139"/>
        <v>-735</v>
      </c>
      <c r="AF93" s="119">
        <f t="shared" si="139"/>
        <v>-700</v>
      </c>
      <c r="AG93" s="119">
        <f t="shared" si="139"/>
        <v>-800</v>
      </c>
      <c r="AH93" s="119">
        <f t="shared" si="139"/>
        <v>-1126</v>
      </c>
      <c r="AI93" s="119">
        <f t="shared" si="139"/>
        <v>0</v>
      </c>
      <c r="AJ93" s="119">
        <f t="shared" si="139"/>
        <v>-2894</v>
      </c>
      <c r="AK93" s="134">
        <f t="shared" si="128"/>
        <v>1.57015985790409</v>
      </c>
      <c r="AL93" s="127">
        <f t="shared" si="139"/>
        <v>0</v>
      </c>
      <c r="AM93" s="256">
        <f t="shared" si="139"/>
        <v>-1335</v>
      </c>
      <c r="AN93" s="256">
        <f t="shared" si="139"/>
        <v>-1190</v>
      </c>
      <c r="AO93" s="256">
        <f t="shared" si="139"/>
        <v>-1396</v>
      </c>
      <c r="AP93" s="256">
        <f t="shared" si="139"/>
        <v>-4229</v>
      </c>
      <c r="AQ93" s="256">
        <f t="shared" si="139"/>
        <v>0</v>
      </c>
      <c r="AR93" s="256">
        <f t="shared" si="139"/>
        <v>0</v>
      </c>
      <c r="AS93" s="256">
        <f t="shared" si="139"/>
        <v>-6815</v>
      </c>
      <c r="AT93" s="256">
        <f t="shared" si="139"/>
        <v>-7000</v>
      </c>
      <c r="AU93" s="263"/>
      <c r="AV93" s="256">
        <f>SUMIF($E$7:$E$77,$G$93,AV7:AV77)</f>
        <v>-1742</v>
      </c>
      <c r="AW93" s="256">
        <f>SUMIF($E$7:$E$77,$G$93,AW7:AW77)</f>
        <v>-5258</v>
      </c>
      <c r="AX93" s="277">
        <f t="shared" si="129"/>
        <v>-3.01836969001148</v>
      </c>
      <c r="AY93" s="127">
        <f>SUMIF($E$7:$E$77,$G$93,AY7:AY77)</f>
        <v>0.571428571428571</v>
      </c>
      <c r="AZ93" s="135"/>
      <c r="BA93" s="286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XDW93" s="13"/>
      <c r="XDX93" s="13"/>
      <c r="XDY93" s="13"/>
      <c r="XDZ93" s="13"/>
      <c r="XEA93" s="13"/>
      <c r="XEB93" s="13"/>
      <c r="XEC93" s="13"/>
      <c r="XED93" s="13"/>
    </row>
    <row r="94" s="1" customFormat="1" ht="18" hidden="1" customHeight="1" spans="1:16358">
      <c r="A94" s="157"/>
      <c r="B94" s="141"/>
      <c r="C94" s="113"/>
      <c r="D94" s="54" t="s">
        <v>208</v>
      </c>
      <c r="E94" s="33"/>
      <c r="F94" s="33"/>
      <c r="G94" s="118" t="s">
        <v>192</v>
      </c>
      <c r="H94" s="119">
        <f>SUMIF($E$7:$E$77,$G$94,H7:H77)</f>
        <v>1789600</v>
      </c>
      <c r="I94" s="119">
        <f>SUMIF($E$7:$E$77,$G$94,I7:I77)</f>
        <v>718300</v>
      </c>
      <c r="J94" s="119">
        <f>SUMIF($E$7:$E$77,$G$94,J7:J77)</f>
        <v>737999.8</v>
      </c>
      <c r="K94" s="119">
        <f>SUMIF($E$7:$E$77,$G$94,K7:K77)</f>
        <v>753855</v>
      </c>
      <c r="L94" s="119">
        <f>SUMIF($E$7:$E$77,$G$94,L7:L77)</f>
        <v>725746</v>
      </c>
      <c r="M94" s="61">
        <f t="shared" si="130"/>
        <v>28109</v>
      </c>
      <c r="N94" s="127">
        <f t="shared" si="131"/>
        <v>0.0387311814326223</v>
      </c>
      <c r="O94" s="119">
        <f>SUMIF($E$7:$E$77,$G$94,O7:O77)</f>
        <v>-8589.19999999995</v>
      </c>
      <c r="P94" s="126">
        <f t="shared" si="132"/>
        <v>1.04949881665042</v>
      </c>
      <c r="Q94" s="126">
        <f t="shared" si="133"/>
        <v>0.421242177022798</v>
      </c>
      <c r="R94" s="119">
        <f>SUMIF($E$7:$E$77,$G$94,R7:R77)</f>
        <v>88700</v>
      </c>
      <c r="S94" s="119">
        <f>SUMIF($E$7:$E$77,$G$94,S7:S77)</f>
        <v>88371</v>
      </c>
      <c r="T94" s="119">
        <f>SUMIF($E$7:$E$77,$G$94,T7:T77)</f>
        <v>102027</v>
      </c>
      <c r="U94" s="256">
        <f>SUMIF($E$7:$E$77,$G$94,U7:U77)</f>
        <v>842555</v>
      </c>
      <c r="V94" s="256">
        <f>SUMIF($E$7:$E$77,$G$94,V7:V77)</f>
        <v>0</v>
      </c>
      <c r="W94" s="256">
        <f>SUMIF($E$7:$E$77,$G$94,W7:W77)</f>
        <v>0</v>
      </c>
      <c r="X94" s="119">
        <f>SUMIF($E$7:$E$77,$G$94,X7:X77)</f>
        <v>1032953</v>
      </c>
      <c r="Y94" s="119">
        <f>SUMIF($E$7:$E$77,$G$94,Y7:Y77)</f>
        <v>1051100</v>
      </c>
      <c r="Z94" s="265"/>
      <c r="AA94" s="119">
        <f>SUMIF($E$7:$E$77,$G$94,AA7:AA77)</f>
        <v>1050862</v>
      </c>
      <c r="AB94" s="119">
        <f t="shared" si="135"/>
        <v>238</v>
      </c>
      <c r="AC94" s="122">
        <f t="shared" si="126"/>
        <v>0.000226480736766677</v>
      </c>
      <c r="AD94" s="127">
        <f t="shared" ref="AD94:AV94" si="140">SUMIF($E$7:$E$77,$G$94,AD7:AD77)</f>
        <v>2.36606746911625</v>
      </c>
      <c r="AE94" s="119">
        <f t="shared" si="140"/>
        <v>13178.2</v>
      </c>
      <c r="AF94" s="119">
        <f t="shared" si="140"/>
        <v>12100</v>
      </c>
      <c r="AG94" s="119">
        <f t="shared" si="140"/>
        <v>5480</v>
      </c>
      <c r="AH94" s="119">
        <f t="shared" si="140"/>
        <v>9682</v>
      </c>
      <c r="AI94" s="119">
        <f t="shared" si="140"/>
        <v>0</v>
      </c>
      <c r="AJ94" s="119">
        <f t="shared" si="140"/>
        <v>6180</v>
      </c>
      <c r="AK94" s="134">
        <f t="shared" si="128"/>
        <v>-0.361702127659574</v>
      </c>
      <c r="AL94" s="127">
        <f t="shared" si="140"/>
        <v>3.37039285714286</v>
      </c>
      <c r="AM94" s="256">
        <f t="shared" si="140"/>
        <v>663</v>
      </c>
      <c r="AN94" s="256">
        <f t="shared" si="140"/>
        <v>-12</v>
      </c>
      <c r="AO94" s="256">
        <f t="shared" si="140"/>
        <v>968</v>
      </c>
      <c r="AP94" s="256">
        <f t="shared" si="140"/>
        <v>6843</v>
      </c>
      <c r="AQ94" s="256">
        <f t="shared" si="140"/>
        <v>0</v>
      </c>
      <c r="AR94" s="256">
        <f t="shared" si="140"/>
        <v>0</v>
      </c>
      <c r="AS94" s="256">
        <f t="shared" si="140"/>
        <v>7799</v>
      </c>
      <c r="AT94" s="256">
        <f t="shared" si="140"/>
        <v>7850</v>
      </c>
      <c r="AU94" s="263"/>
      <c r="AV94" s="256">
        <f>SUMIF($E$7:$E$77,$G$94,AV7:AV77)</f>
        <v>15439</v>
      </c>
      <c r="AW94" s="256">
        <f>SUMIF($E$7:$E$77,$G$94,AW7:AW77)</f>
        <v>-7589</v>
      </c>
      <c r="AX94" s="277">
        <f t="shared" si="129"/>
        <v>-0.491547380011659</v>
      </c>
      <c r="AY94" s="127">
        <f>SUMIF($E$7:$E$77,$G$94,AY7:AY77)</f>
        <v>1.93571428571429</v>
      </c>
      <c r="AZ94" s="135"/>
      <c r="BA94" s="286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XDW94" s="13"/>
      <c r="XDX94" s="13"/>
      <c r="XDY94" s="13"/>
      <c r="XDZ94" s="13"/>
      <c r="XEA94" s="13"/>
      <c r="XEB94" s="13"/>
      <c r="XEC94" s="13"/>
      <c r="XED94" s="13"/>
    </row>
    <row r="95" s="1" customFormat="1" ht="18" hidden="1" customHeight="1" spans="1:16358">
      <c r="A95" s="157"/>
      <c r="B95" s="141"/>
      <c r="C95" s="113"/>
      <c r="D95" s="54" t="s">
        <v>209</v>
      </c>
      <c r="E95" s="33"/>
      <c r="F95" s="33"/>
      <c r="G95" s="118" t="s">
        <v>197</v>
      </c>
      <c r="H95" s="119">
        <f>SUMIF($E$7:$E$77,$G$95,H7:H77)-H74</f>
        <v>165100</v>
      </c>
      <c r="I95" s="119">
        <f>SUMIF($E$7:$E$77,$G$95,I7:I77)-I74</f>
        <v>84590</v>
      </c>
      <c r="J95" s="119">
        <f>SUMIF($E$7:$E$77,$G$95,J7:J77)-J74</f>
        <v>0</v>
      </c>
      <c r="K95" s="119">
        <f>SUMIF($E$7:$E$77,$G$95,K7:K77)-K74</f>
        <v>75947</v>
      </c>
      <c r="L95" s="119">
        <f>SUMIF($E$7:$E$77,$G$95,L7:L77)-L74</f>
        <v>69311</v>
      </c>
      <c r="M95" s="61">
        <f t="shared" si="130"/>
        <v>6636</v>
      </c>
      <c r="N95" s="127">
        <f t="shared" si="131"/>
        <v>0.0957423785546305</v>
      </c>
      <c r="O95" s="119">
        <f>SUMIF($E$7:$E$77,$G$95,O7:O77)-O74</f>
        <v>0</v>
      </c>
      <c r="P95" s="126">
        <f t="shared" si="132"/>
        <v>0.89782480198605</v>
      </c>
      <c r="Q95" s="126">
        <f t="shared" si="133"/>
        <v>0.460006056935191</v>
      </c>
      <c r="R95" s="119">
        <f>SUMIF($E$7:$E$77,$G$95,R7:R77)-R74</f>
        <v>12179</v>
      </c>
      <c r="S95" s="119">
        <f>SUMIF($E$7:$E$77,$G$95,S7:S77)-S74</f>
        <v>13328</v>
      </c>
      <c r="T95" s="119">
        <f>SUMIF($E$7:$E$77,$G$95,T7:T77)-T74</f>
        <v>13668</v>
      </c>
      <c r="U95" s="256">
        <f>SUMIF($E$7:$E$77,$G$95,U7:U77)</f>
        <v>88126</v>
      </c>
      <c r="V95" s="256">
        <f>SUMIF($E$7:$E$77,$G$95,V7:V77)</f>
        <v>0</v>
      </c>
      <c r="W95" s="256">
        <f>SUMIF($E$7:$E$77,$G$95,W7:W77)</f>
        <v>0</v>
      </c>
      <c r="X95" s="119">
        <f>SUMIF($E$7:$E$77,$G$95,X7:X77)-X74</f>
        <v>115122</v>
      </c>
      <c r="Y95" s="119">
        <f>SUMIF($E$7:$E$77,$G$95,Y7:Y77)-Y74</f>
        <v>115000</v>
      </c>
      <c r="Z95" s="265"/>
      <c r="AA95" s="119">
        <f>SUMIF($E$7:$E$77,$G$95,AA7:AA77)-AA74</f>
        <v>98510</v>
      </c>
      <c r="AB95" s="119">
        <f t="shared" si="135"/>
        <v>16490</v>
      </c>
      <c r="AC95" s="122">
        <f t="shared" si="126"/>
        <v>0.167394173180388</v>
      </c>
      <c r="AD95" s="127">
        <f t="shared" ref="AD95:AT95" si="141">SUMIF($E$7:$E$77,$G$95,AD7:AD77)</f>
        <v>5.15564102564103</v>
      </c>
      <c r="AE95" s="119">
        <f t="shared" si="141"/>
        <v>-10518</v>
      </c>
      <c r="AF95" s="119">
        <f>SUMIF($E$7:$E$77,$G$95,AF7:AF77)-AF74</f>
        <v>10130</v>
      </c>
      <c r="AG95" s="119">
        <f t="shared" si="141"/>
        <v>5930</v>
      </c>
      <c r="AH95" s="119">
        <f>SUMIF($E$7:$E$77,$G$95,AH7:AH77)-AH74</f>
        <v>3203</v>
      </c>
      <c r="AI95" s="119">
        <f t="shared" si="141"/>
        <v>0</v>
      </c>
      <c r="AJ95" s="119">
        <f>SUMIF($E$7:$E$77,$G$95,AJ7:AJ77)-AJ74</f>
        <v>7048</v>
      </c>
      <c r="AK95" s="134">
        <f t="shared" si="128"/>
        <v>1.20043709022791</v>
      </c>
      <c r="AL95" s="127">
        <f t="shared" si="141"/>
        <v>5.9045418216894</v>
      </c>
      <c r="AM95" s="256">
        <f>SUMIF($E$7:$E$77,$G$95,AM7:AM77)-AM74</f>
        <v>599</v>
      </c>
      <c r="AN95" s="256">
        <f>SUMIF($E$7:$E$77,$G$95,AN7:AN77)-AN74</f>
        <v>207</v>
      </c>
      <c r="AO95" s="256">
        <f>SUMIF($E$7:$E$77,$G$95,AO7:AO77)-AO74</f>
        <v>152</v>
      </c>
      <c r="AP95" s="256">
        <f t="shared" si="141"/>
        <v>7647</v>
      </c>
      <c r="AQ95" s="256">
        <f t="shared" si="141"/>
        <v>0</v>
      </c>
      <c r="AR95" s="256">
        <f t="shared" si="141"/>
        <v>0</v>
      </c>
      <c r="AS95" s="256">
        <f>SUMIF($E$7:$E$77,$G$95,AS7:AS77)-AS74</f>
        <v>8006</v>
      </c>
      <c r="AT95" s="256">
        <f>SUMIF($E$7:$E$77,$G$95,AT7:AT77)-AT74</f>
        <v>8750</v>
      </c>
      <c r="AU95" s="263"/>
      <c r="AV95" s="256">
        <f>SUMIF($E$7:$E$77,$G$95,AV7:AV77)-AV74</f>
        <v>5997</v>
      </c>
      <c r="AW95" s="256">
        <f>SUMIF($E$7:$E$77,$G$95,AW7:AW77)-AW74</f>
        <v>2753</v>
      </c>
      <c r="AX95" s="277">
        <f t="shared" si="129"/>
        <v>0.459062864765716</v>
      </c>
      <c r="AY95" s="127">
        <f>SUMIF($E$7:$E$77,$G$95,AY7:AY77)</f>
        <v>4.2859694506036</v>
      </c>
      <c r="AZ95" s="135"/>
      <c r="BA95" s="286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XDW95" s="13"/>
      <c r="XDX95" s="13"/>
      <c r="XDY95" s="13"/>
      <c r="XDZ95" s="13"/>
      <c r="XEA95" s="13"/>
      <c r="XEB95" s="13"/>
      <c r="XEC95" s="13"/>
      <c r="XED95" s="13"/>
    </row>
    <row r="96" s="1" customFormat="1" ht="18" hidden="1" customHeight="1" spans="1:16358">
      <c r="A96" s="157"/>
      <c r="B96" s="141"/>
      <c r="C96" s="113"/>
      <c r="D96" s="54" t="s">
        <v>210</v>
      </c>
      <c r="E96" s="33"/>
      <c r="F96" s="33"/>
      <c r="G96" s="118" t="s">
        <v>163</v>
      </c>
      <c r="H96" s="119">
        <f>SUMIF($E$7:$E$77,$G$96,H7:H77)</f>
        <v>445000</v>
      </c>
      <c r="I96" s="119">
        <f>SUMIF($E$7:$E$77,$G$96,I7:I77)</f>
        <v>427000</v>
      </c>
      <c r="J96" s="119">
        <f>SUMIF($E$7:$E$77,$G$96,J7:J77)</f>
        <v>186000</v>
      </c>
      <c r="K96" s="119">
        <f>SUMIF($E$7:$E$77,$G$96,K7:K77)</f>
        <v>448712</v>
      </c>
      <c r="L96" s="119">
        <f>SUMIF($E$7:$E$77,$G$96,L7:L77)</f>
        <v>496324</v>
      </c>
      <c r="M96" s="61">
        <f t="shared" si="130"/>
        <v>-47612</v>
      </c>
      <c r="N96" s="127">
        <f t="shared" si="131"/>
        <v>-0.0959292720078013</v>
      </c>
      <c r="O96" s="119">
        <f>SUMIF($E$7:$E$77,$G$96,O7:O77)</f>
        <v>-10330</v>
      </c>
      <c r="P96" s="126">
        <f t="shared" si="132"/>
        <v>1.05084777517564</v>
      </c>
      <c r="Q96" s="126">
        <f t="shared" si="133"/>
        <v>1.00834157303371</v>
      </c>
      <c r="R96" s="119">
        <f>SUMIF($E$7:$E$77,$G$96,R7:R77)</f>
        <v>15000</v>
      </c>
      <c r="S96" s="119">
        <f>SUMIF($E$7:$E$77,$G$96,S7:S77)</f>
        <v>15000</v>
      </c>
      <c r="T96" s="119">
        <f>SUMIF($E$7:$E$77,$G$96,T7:T77)</f>
        <v>15000</v>
      </c>
      <c r="U96" s="256"/>
      <c r="V96" s="256"/>
      <c r="W96" s="256"/>
      <c r="X96" s="119">
        <f>SUMIF($E$7:$E$77,$G$96,X7:X77)</f>
        <v>493712</v>
      </c>
      <c r="Y96" s="119">
        <f>SUMIF($E$7:$E$77,$G$96,Y7:Y77)</f>
        <v>458400</v>
      </c>
      <c r="Z96" s="265"/>
      <c r="AA96" s="119">
        <f>SUMIF($E$7:$E$77,$G$96,AA7:AA77)</f>
        <v>553640.2</v>
      </c>
      <c r="AB96" s="119">
        <f t="shared" si="135"/>
        <v>-95240.2</v>
      </c>
      <c r="AC96" s="122">
        <f t="shared" si="126"/>
        <v>-0.172025441794147</v>
      </c>
      <c r="AD96" s="127"/>
      <c r="AE96" s="119"/>
      <c r="AF96" s="119">
        <f>SUMIF($E$7:$E$77,$G$96,AF7:AF77)</f>
        <v>0</v>
      </c>
      <c r="AG96" s="119"/>
      <c r="AH96" s="119">
        <f>SUMIF($E$7:$E$77,$G$96,AH7:AH77)</f>
        <v>0</v>
      </c>
      <c r="AI96" s="119"/>
      <c r="AJ96" s="119">
        <f>SUMIF($E$7:$E$77,$G$96,AJ7:AJ77)</f>
        <v>0</v>
      </c>
      <c r="AK96" s="127"/>
      <c r="AL96" s="127"/>
      <c r="AM96" s="256">
        <f>SUMIF($E$7:$E$77,$G$96,AM7:AM77)</f>
        <v>0</v>
      </c>
      <c r="AN96" s="256">
        <f>SUMIF($E$7:$E$77,$G$96,AN7:AN77)</f>
        <v>0</v>
      </c>
      <c r="AO96" s="256">
        <f>SUMIF($E$7:$E$77,$G$96,AO7:AO77)</f>
        <v>0</v>
      </c>
      <c r="AP96" s="256"/>
      <c r="AQ96" s="256"/>
      <c r="AR96" s="256"/>
      <c r="AS96" s="256">
        <f>SUMIF($E$7:$E$77,$G$96,AS7:AS77)</f>
        <v>0</v>
      </c>
      <c r="AT96" s="256">
        <f>SUMIF($E$7:$E$77,$G$96,AT7:AT77)</f>
        <v>-260</v>
      </c>
      <c r="AU96" s="263"/>
      <c r="AV96" s="256">
        <f>SUMIF($E$7:$E$77,$G$96,AV7:AV77)</f>
        <v>-380</v>
      </c>
      <c r="AW96" s="256">
        <f>SUMIF($E$7:$E$77,$G$96,AW7:AW77)</f>
        <v>120</v>
      </c>
      <c r="AX96" s="277">
        <f t="shared" si="129"/>
        <v>0.315789473684211</v>
      </c>
      <c r="AY96" s="127"/>
      <c r="AZ96" s="135"/>
      <c r="BA96" s="286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XDW96" s="13"/>
      <c r="XDX96" s="13"/>
      <c r="XDY96" s="13"/>
      <c r="XDZ96" s="13"/>
      <c r="XEA96" s="13"/>
      <c r="XEB96" s="13"/>
      <c r="XEC96" s="13"/>
      <c r="XED96" s="13"/>
    </row>
    <row r="97" hidden="1"/>
    <row r="98" hidden="1" spans="4:13">
      <c r="D98" s="120" t="s">
        <v>211</v>
      </c>
      <c r="H98" s="10">
        <f t="shared" ref="H98:L98" si="142">H89+H90+H91+H92+H93+H94+H95+H96</f>
        <v>5132000</v>
      </c>
      <c r="I98" s="10">
        <f t="shared" si="142"/>
        <v>2295290</v>
      </c>
      <c r="J98" s="10">
        <f t="shared" si="142"/>
        <v>1484127.8</v>
      </c>
      <c r="K98" s="10">
        <f t="shared" si="142"/>
        <v>2238935</v>
      </c>
      <c r="L98" s="10">
        <f t="shared" si="142"/>
        <v>2266640</v>
      </c>
      <c r="M98" s="10"/>
    </row>
    <row r="99" hidden="1" spans="8:13">
      <c r="H99" s="10">
        <f>H14-H98</f>
        <v>-5000</v>
      </c>
      <c r="I99" s="10">
        <f>I14-I98</f>
        <v>5048</v>
      </c>
      <c r="J99" s="10"/>
      <c r="K99" s="10">
        <f>K14-K98</f>
        <v>-13920</v>
      </c>
      <c r="L99" s="10">
        <f>L14-L98</f>
        <v>6380</v>
      </c>
      <c r="M99" s="10"/>
    </row>
    <row r="104" spans="34:34">
      <c r="AH104" s="269"/>
    </row>
  </sheetData>
  <sheetProtection formatCells="0" insertHyperlinks="0" autoFilter="0"/>
  <autoFilter ref="A6:XFD85">
    <extLst/>
  </autoFilter>
  <mergeCells count="43">
    <mergeCell ref="A2:AY2"/>
    <mergeCell ref="AX3:AZ3"/>
    <mergeCell ref="Y4:AD4"/>
    <mergeCell ref="AT4:AY4"/>
    <mergeCell ref="R5:AD5"/>
    <mergeCell ref="AS5:AX5"/>
    <mergeCell ref="A7:D7"/>
    <mergeCell ref="C8:D8"/>
    <mergeCell ref="C9:D9"/>
    <mergeCell ref="C10:D10"/>
    <mergeCell ref="C11:D11"/>
    <mergeCell ref="C12:D12"/>
    <mergeCell ref="A13:D13"/>
    <mergeCell ref="C85:AZ85"/>
    <mergeCell ref="A4:A6"/>
    <mergeCell ref="A15:A27"/>
    <mergeCell ref="A38:A48"/>
    <mergeCell ref="A49:A56"/>
    <mergeCell ref="A59:A67"/>
    <mergeCell ref="A68:A77"/>
    <mergeCell ref="C4:C6"/>
    <mergeCell ref="D4:D6"/>
    <mergeCell ref="F4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E5:AE6"/>
    <mergeCell ref="AF5:AF6"/>
    <mergeCell ref="AG5:AG6"/>
    <mergeCell ref="AI5:AI6"/>
    <mergeCell ref="AJ5:AJ6"/>
    <mergeCell ref="AK5:AK6"/>
    <mergeCell ref="AL5:AL6"/>
    <mergeCell ref="AY5:AY6"/>
    <mergeCell ref="AZ4:AZ6"/>
  </mergeCells>
  <conditionalFormatting sqref="BB87">
    <cfRule type="cellIs" dxfId="0" priority="1" operator="lessThan">
      <formula>0</formula>
    </cfRule>
  </conditionalFormatting>
  <conditionalFormatting sqref="AE7:AE72 AY55:BA72 AY42:BA44 AE4:AE5 AY23:BA39 AY5 AY7 AY8:BA20 AY47:BA52 AY96:BA1048576 AE96:AE1048576 AY86:BA86 AE86 AY75:BA84 AE75:AE84">
    <cfRule type="cellIs" dxfId="0" priority="3" operator="lessThan">
      <formula>0</formula>
    </cfRule>
  </conditionalFormatting>
  <conditionalFormatting sqref="P5:R5 AY5 AL5:AS5">
    <cfRule type="cellIs" dxfId="0" priority="9" operator="lessThan">
      <formula>0.43</formula>
    </cfRule>
    <cfRule type="cellIs" dxfId="0" priority="10" stopIfTrue="1" operator="lessThan">
      <formula>0.3</formula>
    </cfRule>
  </conditionalFormatting>
  <printOptions horizontalCentered="1"/>
  <pageMargins left="0.118055555555556" right="0.0784722222222222" top="0.826388888888889" bottom="0.904861111111111" header="0.5" footer="0.236111111111111"/>
  <pageSetup paperSize="9" scale="99" fitToHeight="0" orientation="portrait"/>
  <headerFooter/>
  <rowBreaks count="2" manualBreakCount="2">
    <brk id="66" max="51" man="1"/>
    <brk id="85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B97"/>
  <sheetViews>
    <sheetView workbookViewId="0">
      <pane xSplit="3" ySplit="4" topLeftCell="Y30" activePane="bottomRight" state="frozen"/>
      <selection/>
      <selection pane="topRight"/>
      <selection pane="bottomLeft"/>
      <selection pane="bottomRight" activeCell="Y1" sqref="Y$1:Y$1048576"/>
    </sheetView>
  </sheetViews>
  <sheetFormatPr defaultColWidth="7.125" defaultRowHeight="14.25"/>
  <cols>
    <col min="1" max="1" width="7.875" style="8" customWidth="1"/>
    <col min="2" max="2" width="6.875" style="8" customWidth="1"/>
    <col min="3" max="3" width="18.75" style="9" customWidth="1"/>
    <col min="4" max="4" width="6.375" style="10" hidden="1" customWidth="1"/>
    <col min="5" max="5" width="7.375" style="10" hidden="1" customWidth="1" outlineLevel="1"/>
    <col min="6" max="6" width="6.625" style="10" hidden="1" customWidth="1" outlineLevel="1"/>
    <col min="7" max="7" width="10.625" style="10" hidden="1" customWidth="1" collapsed="1"/>
    <col min="8" max="8" width="10" style="10" customWidth="1"/>
    <col min="9" max="9" width="9.5" style="11" customWidth="1"/>
    <col min="10" max="10" width="10.125" style="12" customWidth="1"/>
    <col min="11" max="11" width="10.25" style="12" hidden="1" customWidth="1" outlineLevel="1"/>
    <col min="12" max="12" width="9.375" style="12" customWidth="1" collapsed="1"/>
    <col min="13" max="14" width="8.375" style="11" customWidth="1"/>
    <col min="15" max="15" width="9.625" style="11" customWidth="1"/>
    <col min="16" max="16" width="11" style="12" hidden="1" customWidth="1"/>
    <col min="17" max="17" width="9.25" style="11" hidden="1" customWidth="1"/>
    <col min="18" max="18" width="7.75" style="10" customWidth="1"/>
    <col min="19" max="19" width="8.375" style="10" customWidth="1"/>
    <col min="20" max="22" width="9.75" style="12" customWidth="1"/>
    <col min="23" max="23" width="9.625" style="10" customWidth="1"/>
    <col min="24" max="24" width="8.5" style="10" customWidth="1"/>
    <col min="25" max="25" width="39.5" style="4" customWidth="1"/>
    <col min="26" max="26" width="8.5" style="4" customWidth="1"/>
    <col min="27" max="215" width="7.125" style="4"/>
    <col min="216" max="16319" width="7.125" style="1"/>
    <col min="16320" max="16354" width="7.125" style="13"/>
    <col min="16356" max="16356" width="7.125" style="13"/>
  </cols>
  <sheetData>
    <row r="1" s="1" customFormat="1" ht="36" customHeight="1" spans="1:16327">
      <c r="A1" s="14" t="s">
        <v>212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XCR1" s="13"/>
      <c r="XCS1" s="13"/>
      <c r="XCT1" s="13"/>
      <c r="XCU1" s="13"/>
      <c r="XCV1" s="13"/>
      <c r="XCW1" s="13"/>
      <c r="XCX1" s="13"/>
      <c r="XCY1" s="13"/>
    </row>
    <row r="2" s="2" customFormat="1" ht="15.75" customHeight="1" spans="1:16327">
      <c r="A2" s="15" t="s">
        <v>125</v>
      </c>
      <c r="B2" s="16" t="s">
        <v>126</v>
      </c>
      <c r="C2" s="16" t="s">
        <v>95</v>
      </c>
      <c r="D2" s="16"/>
      <c r="E2" s="17" t="s">
        <v>127</v>
      </c>
      <c r="F2" s="17" t="s">
        <v>39</v>
      </c>
      <c r="G2" s="18" t="s">
        <v>12</v>
      </c>
      <c r="H2" s="18"/>
      <c r="I2" s="18"/>
      <c r="J2" s="18"/>
      <c r="K2" s="18"/>
      <c r="L2" s="18"/>
      <c r="M2" s="18"/>
      <c r="N2" s="18"/>
      <c r="O2" s="18"/>
      <c r="P2" s="18"/>
      <c r="Q2" s="83" t="s">
        <v>23</v>
      </c>
      <c r="R2" s="83"/>
      <c r="S2" s="83"/>
      <c r="T2" s="83"/>
      <c r="U2" s="83"/>
      <c r="V2" s="83"/>
      <c r="W2" s="83"/>
      <c r="X2" s="84"/>
      <c r="XCR2" s="107"/>
      <c r="XCS2" s="107"/>
      <c r="XCT2" s="107"/>
      <c r="XCU2" s="107"/>
      <c r="XCV2" s="107"/>
      <c r="XCW2" s="107"/>
      <c r="XCX2" s="107"/>
      <c r="XCY2" s="107"/>
    </row>
    <row r="3" s="2" customFormat="1" ht="17.1" customHeight="1" spans="1:16327">
      <c r="A3" s="19"/>
      <c r="B3" s="18"/>
      <c r="C3" s="18"/>
      <c r="D3" s="18"/>
      <c r="E3" s="18"/>
      <c r="F3" s="18"/>
      <c r="G3" s="18" t="s">
        <v>128</v>
      </c>
      <c r="H3" s="20" t="s">
        <v>129</v>
      </c>
      <c r="I3" s="63" t="s">
        <v>130</v>
      </c>
      <c r="J3" s="64" t="s">
        <v>131</v>
      </c>
      <c r="K3" s="65" t="s">
        <v>102</v>
      </c>
      <c r="L3" s="64" t="s">
        <v>19</v>
      </c>
      <c r="M3" s="63" t="s">
        <v>103</v>
      </c>
      <c r="N3" s="63" t="s">
        <v>132</v>
      </c>
      <c r="O3" s="63" t="s">
        <v>109</v>
      </c>
      <c r="P3" s="64" t="s">
        <v>135</v>
      </c>
      <c r="Q3" s="85" t="s">
        <v>128</v>
      </c>
      <c r="R3" s="86" t="s">
        <v>129</v>
      </c>
      <c r="S3" s="63" t="s">
        <v>130</v>
      </c>
      <c r="T3" s="87" t="s">
        <v>131</v>
      </c>
      <c r="U3" s="88" t="s">
        <v>102</v>
      </c>
      <c r="V3" s="64" t="s">
        <v>19</v>
      </c>
      <c r="W3" s="63" t="s">
        <v>103</v>
      </c>
      <c r="X3" s="89" t="s">
        <v>109</v>
      </c>
      <c r="XCR3" s="107"/>
      <c r="XCS3" s="107"/>
      <c r="XCT3" s="107"/>
      <c r="XCU3" s="107"/>
      <c r="XCV3" s="107"/>
      <c r="XCW3" s="107"/>
      <c r="XCX3" s="107"/>
      <c r="XCY3" s="107"/>
    </row>
    <row r="4" s="2" customFormat="1" ht="38.1" customHeight="1" spans="1:16327">
      <c r="A4" s="19"/>
      <c r="B4" s="18"/>
      <c r="C4" s="18"/>
      <c r="D4" s="18"/>
      <c r="E4" s="18"/>
      <c r="F4" s="18"/>
      <c r="G4" s="18"/>
      <c r="H4" s="21"/>
      <c r="I4" s="63"/>
      <c r="J4" s="64"/>
      <c r="K4" s="65"/>
      <c r="L4" s="65"/>
      <c r="M4" s="63"/>
      <c r="N4" s="63"/>
      <c r="O4" s="63"/>
      <c r="P4" s="64"/>
      <c r="Q4" s="85"/>
      <c r="R4" s="86"/>
      <c r="S4" s="63"/>
      <c r="T4" s="87"/>
      <c r="U4" s="90"/>
      <c r="V4" s="65"/>
      <c r="W4" s="63"/>
      <c r="X4" s="89"/>
      <c r="XCR4" s="107"/>
      <c r="XCS4" s="107"/>
      <c r="XCT4" s="107"/>
      <c r="XCU4" s="107"/>
      <c r="XCV4" s="107"/>
      <c r="XCW4" s="107"/>
      <c r="XCX4" s="107"/>
      <c r="XCY4" s="107"/>
    </row>
    <row r="5" s="3" customFormat="1" ht="20.85" customHeight="1" spans="1:16355">
      <c r="A5" s="22" t="s">
        <v>3</v>
      </c>
      <c r="B5" s="23"/>
      <c r="C5" s="24"/>
      <c r="D5" s="25" t="s">
        <v>146</v>
      </c>
      <c r="E5" s="24"/>
      <c r="F5" s="24"/>
      <c r="G5" s="24">
        <v>4750000</v>
      </c>
      <c r="H5" s="24">
        <v>2290000</v>
      </c>
      <c r="I5" s="66" t="s">
        <v>25</v>
      </c>
      <c r="J5" s="66">
        <f>J12+J11+J8+J7+J6+J10</f>
        <v>2201564</v>
      </c>
      <c r="K5" s="66">
        <v>2295498</v>
      </c>
      <c r="L5" s="66">
        <f>J5-K5</f>
        <v>-93934</v>
      </c>
      <c r="M5" s="67">
        <f>J5/K5-1</f>
        <v>-0.0409209679119737</v>
      </c>
      <c r="N5" s="66">
        <f>H5-J5</f>
        <v>88436</v>
      </c>
      <c r="O5" s="67">
        <f>J5/G5</f>
        <v>0.463487157894737</v>
      </c>
      <c r="P5" s="68">
        <f>J5-H5</f>
        <v>-88436</v>
      </c>
      <c r="Q5" s="24">
        <v>100000</v>
      </c>
      <c r="R5" s="24">
        <v>42000</v>
      </c>
      <c r="S5" s="66" t="s">
        <v>25</v>
      </c>
      <c r="T5" s="66">
        <f>T12+T11+T8+T7+T6+T10</f>
        <v>42270</v>
      </c>
      <c r="U5" s="91">
        <v>40049</v>
      </c>
      <c r="V5" s="91">
        <f>T5-U5</f>
        <v>2221</v>
      </c>
      <c r="W5" s="67">
        <f>(T5-U5)/ABS(U5)</f>
        <v>0.0554570650952583</v>
      </c>
      <c r="X5" s="92">
        <f>T5/Q5</f>
        <v>0.4227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XCR5" s="107"/>
      <c r="XCS5" s="107"/>
      <c r="XCT5" s="107"/>
      <c r="XCU5" s="107"/>
      <c r="XCV5" s="107"/>
      <c r="XCW5" s="107"/>
      <c r="XCX5" s="107"/>
      <c r="XCY5" s="107"/>
      <c r="XCZ5" s="107"/>
      <c r="XDA5" s="107"/>
      <c r="XDB5" s="107"/>
      <c r="XDC5" s="107"/>
      <c r="XDD5" s="107"/>
      <c r="XDE5" s="107"/>
      <c r="XDF5" s="107"/>
      <c r="XDG5" s="107"/>
      <c r="XDH5" s="107"/>
      <c r="XDI5" s="107"/>
      <c r="XDJ5" s="107"/>
      <c r="XDK5" s="107"/>
      <c r="XDL5" s="107"/>
      <c r="XDM5" s="107"/>
      <c r="XDN5" s="107"/>
      <c r="XDO5" s="107"/>
      <c r="XDP5" s="107"/>
      <c r="XDQ5" s="107"/>
      <c r="XDR5" s="107"/>
      <c r="XDS5" s="107"/>
      <c r="XDT5" s="107"/>
      <c r="XDU5" s="107"/>
      <c r="XDV5" s="107"/>
      <c r="XDW5" s="107"/>
      <c r="XDX5" s="107"/>
      <c r="XDY5" s="107"/>
      <c r="XDZ5" s="107"/>
      <c r="XEA5" s="2"/>
    </row>
    <row r="6" s="4" customFormat="1" ht="20.85" customHeight="1" spans="1:24">
      <c r="A6" s="26"/>
      <c r="B6" s="27" t="s">
        <v>147</v>
      </c>
      <c r="C6" s="27"/>
      <c r="D6" s="28"/>
      <c r="E6" s="29"/>
      <c r="F6" s="29"/>
      <c r="G6" s="29"/>
      <c r="H6" s="29"/>
      <c r="I6" s="69"/>
      <c r="J6" s="70">
        <v>-8000</v>
      </c>
      <c r="K6" s="71"/>
      <c r="L6" s="71"/>
      <c r="M6" s="72"/>
      <c r="N6" s="72"/>
      <c r="O6" s="72"/>
      <c r="P6" s="72"/>
      <c r="Q6" s="29"/>
      <c r="R6" s="29"/>
      <c r="S6" s="29"/>
      <c r="T6" s="29">
        <v>-2700</v>
      </c>
      <c r="U6" s="93"/>
      <c r="V6" s="93"/>
      <c r="W6" s="29"/>
      <c r="X6" s="94"/>
    </row>
    <row r="7" s="4" customFormat="1" ht="20.85" customHeight="1" spans="1:24">
      <c r="A7" s="26"/>
      <c r="B7" s="27" t="s">
        <v>148</v>
      </c>
      <c r="C7" s="27"/>
      <c r="D7" s="28"/>
      <c r="E7" s="29"/>
      <c r="F7" s="29"/>
      <c r="G7" s="29"/>
      <c r="H7" s="29"/>
      <c r="I7" s="69"/>
      <c r="J7" s="72"/>
      <c r="K7" s="71"/>
      <c r="L7" s="71"/>
      <c r="M7" s="72"/>
      <c r="N7" s="72"/>
      <c r="O7" s="72"/>
      <c r="P7" s="72"/>
      <c r="Q7" s="29"/>
      <c r="R7" s="29"/>
      <c r="S7" s="29"/>
      <c r="T7" s="29"/>
      <c r="U7" s="93"/>
      <c r="V7" s="93"/>
      <c r="W7" s="29"/>
      <c r="X7" s="94"/>
    </row>
    <row r="8" s="4" customFormat="1" ht="20.85" customHeight="1" spans="1:24">
      <c r="A8" s="30"/>
      <c r="B8" s="31" t="s">
        <v>149</v>
      </c>
      <c r="C8" s="31"/>
      <c r="D8" s="32"/>
      <c r="E8" s="33"/>
      <c r="F8" s="33"/>
      <c r="G8" s="33"/>
      <c r="H8" s="33"/>
      <c r="I8" s="73"/>
      <c r="J8" s="43"/>
      <c r="K8" s="46"/>
      <c r="L8" s="46"/>
      <c r="M8" s="43"/>
      <c r="N8" s="43"/>
      <c r="O8" s="43"/>
      <c r="P8" s="43"/>
      <c r="Q8" s="33"/>
      <c r="R8" s="33"/>
      <c r="S8" s="33"/>
      <c r="T8" s="33">
        <v>5150</v>
      </c>
      <c r="U8" s="95"/>
      <c r="V8" s="95"/>
      <c r="W8" s="33"/>
      <c r="X8" s="96"/>
    </row>
    <row r="9" s="4" customFormat="1" ht="20.85" hidden="1" customHeight="1" outlineLevel="1" spans="1:26">
      <c r="A9" s="30"/>
      <c r="B9" s="31" t="s">
        <v>150</v>
      </c>
      <c r="C9" s="31"/>
      <c r="D9" s="32"/>
      <c r="E9" s="33"/>
      <c r="F9" s="33"/>
      <c r="G9" s="33"/>
      <c r="H9" s="33"/>
      <c r="I9" s="73"/>
      <c r="J9" s="43">
        <v>18949</v>
      </c>
      <c r="K9" s="46"/>
      <c r="L9" s="46"/>
      <c r="M9" s="43"/>
      <c r="N9" s="43"/>
      <c r="O9" s="43"/>
      <c r="P9" s="43"/>
      <c r="Q9" s="33"/>
      <c r="R9" s="33"/>
      <c r="S9" s="33"/>
      <c r="T9" s="33">
        <v>1668</v>
      </c>
      <c r="U9" s="95"/>
      <c r="V9" s="95"/>
      <c r="W9" s="33"/>
      <c r="X9" s="96"/>
      <c r="Z9" s="100"/>
    </row>
    <row r="10" s="4" customFormat="1" ht="30" customHeight="1" collapsed="1" spans="1:24">
      <c r="A10" s="30"/>
      <c r="B10" s="31" t="s">
        <v>151</v>
      </c>
      <c r="C10" s="31"/>
      <c r="D10" s="32"/>
      <c r="E10" s="33"/>
      <c r="F10" s="33"/>
      <c r="G10" s="33"/>
      <c r="H10" s="33"/>
      <c r="I10" s="73">
        <f>K12</f>
        <v>2273020</v>
      </c>
      <c r="J10" s="43"/>
      <c r="K10" s="46"/>
      <c r="L10" s="46"/>
      <c r="M10" s="43"/>
      <c r="N10" s="43"/>
      <c r="O10" s="43"/>
      <c r="P10" s="43"/>
      <c r="Q10" s="33"/>
      <c r="R10" s="33"/>
      <c r="S10" s="33"/>
      <c r="T10" s="33">
        <f>-127-29-443</f>
        <v>-599</v>
      </c>
      <c r="U10" s="95"/>
      <c r="V10" s="95"/>
      <c r="W10" s="33"/>
      <c r="X10" s="96"/>
    </row>
    <row r="11" s="1" customFormat="1" ht="21" customHeight="1" spans="1:16354">
      <c r="A11" s="30" t="s">
        <v>152</v>
      </c>
      <c r="B11" s="32"/>
      <c r="C11" s="33"/>
      <c r="D11" s="33"/>
      <c r="E11" s="33"/>
      <c r="F11" s="33"/>
      <c r="G11" s="33">
        <v>37700</v>
      </c>
      <c r="H11" s="33">
        <v>19000</v>
      </c>
      <c r="I11" s="73" t="s">
        <v>25</v>
      </c>
      <c r="J11" s="43">
        <v>18864</v>
      </c>
      <c r="K11" s="61">
        <v>18279</v>
      </c>
      <c r="L11" s="61"/>
      <c r="M11" s="74">
        <f t="shared" ref="M11:M24" si="0">J11/K11-1</f>
        <v>0.0320039389463318</v>
      </c>
      <c r="N11" s="74"/>
      <c r="O11" s="43"/>
      <c r="P11" s="43"/>
      <c r="Q11" s="46">
        <v>-31000</v>
      </c>
      <c r="R11" s="46"/>
      <c r="S11" s="33" t="s">
        <v>25</v>
      </c>
      <c r="T11" s="76">
        <f>47405-57683</f>
        <v>-10278</v>
      </c>
      <c r="U11" s="46">
        <v>-17033</v>
      </c>
      <c r="V11" s="46"/>
      <c r="W11" s="74">
        <f t="shared" ref="W11:W14" si="1">(T11-U11)/ABS(U11)</f>
        <v>0.396583103387542</v>
      </c>
      <c r="X11" s="96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</row>
    <row r="12" s="5" customFormat="1" ht="21" customHeight="1" spans="1:16355">
      <c r="A12" s="34" t="s">
        <v>125</v>
      </c>
      <c r="B12" s="35"/>
      <c r="C12" s="36" t="s">
        <v>153</v>
      </c>
      <c r="D12" s="37"/>
      <c r="E12" s="37"/>
      <c r="F12" s="38" t="s">
        <v>154</v>
      </c>
      <c r="G12" s="39">
        <f t="shared" ref="G12:K12" si="2">SUMIF($F$14:$F$82,$F$12,G$14:G$82)</f>
        <v>5137000</v>
      </c>
      <c r="H12" s="39">
        <f t="shared" si="2"/>
        <v>2300338</v>
      </c>
      <c r="I12" s="39" t="s">
        <v>25</v>
      </c>
      <c r="J12" s="39">
        <f>SUMIF($F$14:$F$82,$F$12,J$14:J$82)-J9</f>
        <v>2190700</v>
      </c>
      <c r="K12" s="39">
        <f t="shared" si="2"/>
        <v>2273020</v>
      </c>
      <c r="L12" s="66">
        <f t="shared" ref="L12:L25" si="3">J12-K12</f>
        <v>-82320</v>
      </c>
      <c r="M12" s="75">
        <f t="shared" si="0"/>
        <v>-0.0362161353617654</v>
      </c>
      <c r="N12" s="66">
        <f t="shared" ref="N12:N14" si="4">H12-J12</f>
        <v>109638</v>
      </c>
      <c r="O12" s="67">
        <f t="shared" ref="O12:O29" si="5">J12/G12</f>
        <v>0.426455129452988</v>
      </c>
      <c r="P12" s="39">
        <f>P13+P26+P35+P46+P54+P57+P66</f>
        <v>-110693.8</v>
      </c>
      <c r="Q12" s="39">
        <f>SUMIF($F$14:$F$82,$F$12,Q$14:Q$82)</f>
        <v>167130</v>
      </c>
      <c r="R12" s="39">
        <f>SUMIF($F$14:$F$82,$F$12,R$14:R$82)</f>
        <v>55506</v>
      </c>
      <c r="S12" s="39" t="s">
        <v>25</v>
      </c>
      <c r="T12" s="39">
        <f>SUMIF($F$14:$F$82,$F$12,T$14:T$82)-T9</f>
        <v>50697</v>
      </c>
      <c r="U12" s="39">
        <f>SUMIF($F$14:$F$82,$F$12,U$14:U$82)</f>
        <v>60782</v>
      </c>
      <c r="V12" s="91">
        <f t="shared" ref="V12:V18" si="6">T12-U12</f>
        <v>-10085</v>
      </c>
      <c r="W12" s="75">
        <f t="shared" si="1"/>
        <v>-0.165920831825211</v>
      </c>
      <c r="X12" s="92">
        <f t="shared" ref="X12:X14" si="7">T12/Q12</f>
        <v>0.303338718362951</v>
      </c>
      <c r="XCZ12" s="109"/>
      <c r="XEA12" s="109"/>
    </row>
    <row r="13" s="5" customFormat="1" ht="18.95" customHeight="1" spans="1:16355">
      <c r="A13" s="40" t="s">
        <v>155</v>
      </c>
      <c r="B13" s="35"/>
      <c r="C13" s="36" t="s">
        <v>156</v>
      </c>
      <c r="D13" s="37"/>
      <c r="E13" s="38"/>
      <c r="F13" s="38"/>
      <c r="G13" s="39">
        <f>SUMIF($D$14:$D$25,$D$14,G$14:G$25)</f>
        <v>825300</v>
      </c>
      <c r="H13" s="39">
        <f>SUMIF($D$14:$D$25,$D$14,H$14:H$25)</f>
        <v>318500</v>
      </c>
      <c r="I13" s="39">
        <f>SUMIF($D$14:$D$25,$D$14,I$14:I$25)</f>
        <v>245000</v>
      </c>
      <c r="J13" s="39">
        <f>SUMIF($D$14:$D$25,$D$14,J$14:J$25)</f>
        <v>256458</v>
      </c>
      <c r="K13" s="39">
        <f>SUMIF($D$14:$D$25,$D$14,K$14:K$25)</f>
        <v>414325</v>
      </c>
      <c r="L13" s="66">
        <f t="shared" si="3"/>
        <v>-157867</v>
      </c>
      <c r="M13" s="75">
        <f t="shared" si="0"/>
        <v>-0.381022144451819</v>
      </c>
      <c r="N13" s="66">
        <f t="shared" si="4"/>
        <v>62042</v>
      </c>
      <c r="O13" s="67">
        <f t="shared" si="5"/>
        <v>0.310745183569611</v>
      </c>
      <c r="P13" s="39">
        <f>P14+P17+P18+P21+P22+P23+P24</f>
        <v>-42130</v>
      </c>
      <c r="Q13" s="39">
        <f>SUMIF($D$14:$D$25,$D$14,Q$14:Q$25)</f>
        <v>54400</v>
      </c>
      <c r="R13" s="39">
        <f>SUM(R14:R25)-R15-R16-R19-R20</f>
        <v>5220</v>
      </c>
      <c r="S13" s="39" t="s">
        <v>25</v>
      </c>
      <c r="T13" s="39">
        <f>SUMIF($D$14:$D$25,$D$14,T$14:T$25)</f>
        <v>2163</v>
      </c>
      <c r="U13" s="39">
        <f>SUMIF($D$14:$D$25,$D$14,U$14:U$25)</f>
        <v>23054</v>
      </c>
      <c r="V13" s="91">
        <f t="shared" si="6"/>
        <v>-20891</v>
      </c>
      <c r="W13" s="75">
        <f t="shared" si="1"/>
        <v>-0.906176802290275</v>
      </c>
      <c r="X13" s="92">
        <f t="shared" si="7"/>
        <v>0.0397610294117647</v>
      </c>
      <c r="XCZ13" s="109"/>
      <c r="XEA13" s="109"/>
    </row>
    <row r="14" s="1" customFormat="1" ht="16.5" customHeight="1" spans="1:16354">
      <c r="A14" s="30"/>
      <c r="B14" s="32">
        <v>1</v>
      </c>
      <c r="C14" s="41" t="s">
        <v>157</v>
      </c>
      <c r="D14" s="42" t="s">
        <v>158</v>
      </c>
      <c r="E14" s="43" t="s">
        <v>159</v>
      </c>
      <c r="F14" s="43" t="s">
        <v>154</v>
      </c>
      <c r="G14" s="43">
        <v>520000</v>
      </c>
      <c r="H14" s="33">
        <v>181000</v>
      </c>
      <c r="I14" s="43">
        <v>160000</v>
      </c>
      <c r="J14" s="76">
        <v>136750</v>
      </c>
      <c r="K14" s="61">
        <v>271134</v>
      </c>
      <c r="L14" s="61">
        <f t="shared" si="3"/>
        <v>-134384</v>
      </c>
      <c r="M14" s="74">
        <f t="shared" si="0"/>
        <v>-0.495636843774665</v>
      </c>
      <c r="N14" s="76">
        <f t="shared" si="4"/>
        <v>44250</v>
      </c>
      <c r="O14" s="74">
        <f t="shared" si="5"/>
        <v>0.262980769230769</v>
      </c>
      <c r="P14" s="61">
        <f t="shared" ref="P14:P18" si="8">J14-I14</f>
        <v>-23250</v>
      </c>
      <c r="Q14" s="33">
        <v>25000</v>
      </c>
      <c r="R14" s="33">
        <v>-5000</v>
      </c>
      <c r="S14" s="33">
        <v>-7100</v>
      </c>
      <c r="T14" s="52">
        <v>-7093</v>
      </c>
      <c r="U14" s="33">
        <v>10817</v>
      </c>
      <c r="V14" s="33">
        <f t="shared" si="6"/>
        <v>-17910</v>
      </c>
      <c r="W14" s="74">
        <f t="shared" si="1"/>
        <v>-1.6557270962374</v>
      </c>
      <c r="X14" s="97">
        <f t="shared" si="7"/>
        <v>-0.28372</v>
      </c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1"/>
      <c r="ET14" s="101"/>
      <c r="EU14" s="101"/>
      <c r="EV14" s="101"/>
      <c r="EW14" s="101"/>
      <c r="EX14" s="101"/>
      <c r="EY14" s="101"/>
      <c r="EZ14" s="101"/>
      <c r="FA14" s="101"/>
      <c r="FB14" s="101"/>
      <c r="FC14" s="101"/>
      <c r="FD14" s="101"/>
      <c r="FE14" s="101"/>
      <c r="FF14" s="101"/>
      <c r="FG14" s="101"/>
      <c r="FH14" s="101"/>
      <c r="FI14" s="101"/>
      <c r="FJ14" s="101"/>
      <c r="FK14" s="101"/>
      <c r="FL14" s="101"/>
      <c r="FM14" s="101"/>
      <c r="FN14" s="101"/>
      <c r="FO14" s="101"/>
      <c r="FP14" s="101"/>
      <c r="FQ14" s="101"/>
      <c r="FR14" s="101"/>
      <c r="FS14" s="101"/>
      <c r="FT14" s="101"/>
      <c r="FU14" s="101"/>
      <c r="FV14" s="101"/>
      <c r="FW14" s="101"/>
      <c r="FX14" s="101"/>
      <c r="FY14" s="101"/>
      <c r="FZ14" s="101"/>
      <c r="GA14" s="101"/>
      <c r="GB14" s="101"/>
      <c r="GC14" s="101"/>
      <c r="GD14" s="101"/>
      <c r="GE14" s="101"/>
      <c r="GF14" s="101"/>
      <c r="GG14" s="101"/>
      <c r="GH14" s="101"/>
      <c r="GI14" s="101"/>
      <c r="GJ14" s="101"/>
      <c r="GK14" s="101"/>
      <c r="GL14" s="101"/>
      <c r="GM14" s="101"/>
      <c r="GN14" s="101"/>
      <c r="GO14" s="101"/>
      <c r="GP14" s="101"/>
      <c r="GQ14" s="101"/>
      <c r="GR14" s="101"/>
      <c r="GS14" s="101"/>
      <c r="GT14" s="101"/>
      <c r="GU14" s="101"/>
      <c r="GV14" s="101"/>
      <c r="GW14" s="101"/>
      <c r="GX14" s="101"/>
      <c r="GY14" s="101"/>
      <c r="GZ14" s="101"/>
      <c r="HA14" s="101"/>
      <c r="HB14" s="101"/>
      <c r="HC14" s="101"/>
      <c r="HD14" s="101"/>
      <c r="HE14" s="101"/>
      <c r="HF14" s="101"/>
      <c r="HG14" s="101"/>
      <c r="XCR14" s="101"/>
      <c r="XCS14" s="101"/>
      <c r="XCT14" s="101"/>
      <c r="XCU14" s="101"/>
      <c r="XCV14" s="101"/>
      <c r="XCW14" s="101"/>
      <c r="XCX14" s="101"/>
      <c r="XCY14" s="101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</row>
    <row r="15" s="1" customFormat="1" ht="16.5" customHeight="1" spans="1:16354">
      <c r="A15" s="30"/>
      <c r="B15" s="44"/>
      <c r="C15" s="45" t="s">
        <v>161</v>
      </c>
      <c r="D15" s="33"/>
      <c r="E15" s="43"/>
      <c r="F15" s="43"/>
      <c r="G15" s="43">
        <v>440000</v>
      </c>
      <c r="H15" s="33">
        <v>131000</v>
      </c>
      <c r="I15" s="43">
        <v>131000</v>
      </c>
      <c r="J15" s="76">
        <f>J14-J16</f>
        <v>98750</v>
      </c>
      <c r="K15" s="76">
        <f>K14-K16</f>
        <v>210376</v>
      </c>
      <c r="L15" s="61">
        <f t="shared" si="3"/>
        <v>-111626</v>
      </c>
      <c r="M15" s="74">
        <f t="shared" si="0"/>
        <v>-0.530602350077956</v>
      </c>
      <c r="N15" s="76">
        <f>I15-J15</f>
        <v>32250</v>
      </c>
      <c r="O15" s="74">
        <f t="shared" si="5"/>
        <v>0.224431818181818</v>
      </c>
      <c r="P15" s="61">
        <f t="shared" si="8"/>
        <v>-32250</v>
      </c>
      <c r="Q15" s="82">
        <v>0</v>
      </c>
      <c r="R15" s="82">
        <v>0</v>
      </c>
      <c r="S15" s="82">
        <v>0</v>
      </c>
      <c r="T15" s="98">
        <v>0</v>
      </c>
      <c r="U15" s="82">
        <v>0</v>
      </c>
      <c r="V15" s="82"/>
      <c r="W15" s="82">
        <v>0</v>
      </c>
      <c r="X15" s="97" t="s">
        <v>25</v>
      </c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1"/>
      <c r="ET15" s="101"/>
      <c r="EU15" s="101"/>
      <c r="EV15" s="101"/>
      <c r="EW15" s="101"/>
      <c r="EX15" s="101"/>
      <c r="EY15" s="101"/>
      <c r="EZ15" s="101"/>
      <c r="FA15" s="101"/>
      <c r="FB15" s="101"/>
      <c r="FC15" s="101"/>
      <c r="FD15" s="101"/>
      <c r="FE15" s="101"/>
      <c r="FF15" s="101"/>
      <c r="FG15" s="101"/>
      <c r="FH15" s="101"/>
      <c r="FI15" s="101"/>
      <c r="FJ15" s="101"/>
      <c r="FK15" s="101"/>
      <c r="FL15" s="101"/>
      <c r="FM15" s="101"/>
      <c r="FN15" s="101"/>
      <c r="FO15" s="101"/>
      <c r="FP15" s="101"/>
      <c r="FQ15" s="101"/>
      <c r="FR15" s="101"/>
      <c r="FS15" s="101"/>
      <c r="FT15" s="101"/>
      <c r="FU15" s="101"/>
      <c r="FV15" s="101"/>
      <c r="FW15" s="101"/>
      <c r="FX15" s="101"/>
      <c r="FY15" s="101"/>
      <c r="FZ15" s="101"/>
      <c r="GA15" s="101"/>
      <c r="GB15" s="101"/>
      <c r="GC15" s="101"/>
      <c r="GD15" s="101"/>
      <c r="GE15" s="101"/>
      <c r="GF15" s="101"/>
      <c r="GG15" s="101"/>
      <c r="GH15" s="101"/>
      <c r="GI15" s="101"/>
      <c r="GJ15" s="101"/>
      <c r="GK15" s="101"/>
      <c r="GL15" s="101"/>
      <c r="GM15" s="101"/>
      <c r="GN15" s="101"/>
      <c r="GO15" s="101"/>
      <c r="GP15" s="101"/>
      <c r="GQ15" s="101"/>
      <c r="GR15" s="101"/>
      <c r="GS15" s="101"/>
      <c r="GT15" s="101"/>
      <c r="GU15" s="101"/>
      <c r="GV15" s="101"/>
      <c r="GW15" s="101"/>
      <c r="GX15" s="101"/>
      <c r="GY15" s="101"/>
      <c r="GZ15" s="101"/>
      <c r="HA15" s="101"/>
      <c r="HB15" s="101"/>
      <c r="HC15" s="101"/>
      <c r="HD15" s="101"/>
      <c r="HE15" s="101"/>
      <c r="HF15" s="101"/>
      <c r="HG15" s="101"/>
      <c r="XCR15" s="101"/>
      <c r="XCS15" s="101"/>
      <c r="XCT15" s="101"/>
      <c r="XCU15" s="101"/>
      <c r="XCV15" s="101"/>
      <c r="XCW15" s="101"/>
      <c r="XCX15" s="101"/>
      <c r="XCY15" s="101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</row>
    <row r="16" s="1" customFormat="1" ht="16.5" customHeight="1" spans="1:16354">
      <c r="A16" s="30"/>
      <c r="B16" s="44"/>
      <c r="C16" s="45" t="s">
        <v>162</v>
      </c>
      <c r="D16" s="43" t="s">
        <v>163</v>
      </c>
      <c r="E16" s="43"/>
      <c r="F16" s="43"/>
      <c r="G16" s="43">
        <f t="shared" ref="G16:I16" si="9">G14-G15</f>
        <v>80000</v>
      </c>
      <c r="H16" s="46">
        <f t="shared" si="9"/>
        <v>50000</v>
      </c>
      <c r="I16" s="43">
        <f t="shared" si="9"/>
        <v>29000</v>
      </c>
      <c r="J16" s="76">
        <v>38000</v>
      </c>
      <c r="K16" s="76">
        <v>60758</v>
      </c>
      <c r="L16" s="61">
        <f t="shared" si="3"/>
        <v>-22758</v>
      </c>
      <c r="M16" s="74">
        <f t="shared" si="0"/>
        <v>-0.374567958128971</v>
      </c>
      <c r="N16" s="76">
        <f>I16-J16</f>
        <v>-9000</v>
      </c>
      <c r="O16" s="74">
        <f t="shared" si="5"/>
        <v>0.475</v>
      </c>
      <c r="P16" s="61"/>
      <c r="Q16" s="82">
        <v>0</v>
      </c>
      <c r="R16" s="82">
        <v>0</v>
      </c>
      <c r="S16" s="82">
        <v>0</v>
      </c>
      <c r="T16" s="98">
        <v>0</v>
      </c>
      <c r="U16" s="82">
        <v>0</v>
      </c>
      <c r="V16" s="82"/>
      <c r="W16" s="82">
        <v>0</v>
      </c>
      <c r="X16" s="97" t="s">
        <v>25</v>
      </c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1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1"/>
      <c r="EV16" s="101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1"/>
      <c r="FL16" s="101"/>
      <c r="FM16" s="101"/>
      <c r="FN16" s="101"/>
      <c r="FO16" s="101"/>
      <c r="FP16" s="101"/>
      <c r="FQ16" s="101"/>
      <c r="FR16" s="101"/>
      <c r="FS16" s="101"/>
      <c r="FT16" s="101"/>
      <c r="FU16" s="101"/>
      <c r="FV16" s="101"/>
      <c r="FW16" s="101"/>
      <c r="FX16" s="101"/>
      <c r="FY16" s="101"/>
      <c r="FZ16" s="101"/>
      <c r="GA16" s="101"/>
      <c r="GB16" s="101"/>
      <c r="GC16" s="101"/>
      <c r="GD16" s="101"/>
      <c r="GE16" s="101"/>
      <c r="GF16" s="101"/>
      <c r="GG16" s="101"/>
      <c r="GH16" s="101"/>
      <c r="GI16" s="101"/>
      <c r="GJ16" s="101"/>
      <c r="GK16" s="101"/>
      <c r="GL16" s="101"/>
      <c r="GM16" s="101"/>
      <c r="GN16" s="101"/>
      <c r="GO16" s="101"/>
      <c r="GP16" s="101"/>
      <c r="GQ16" s="101"/>
      <c r="GR16" s="101"/>
      <c r="GS16" s="101"/>
      <c r="GT16" s="101"/>
      <c r="GU16" s="101"/>
      <c r="GV16" s="101"/>
      <c r="GW16" s="101"/>
      <c r="GX16" s="101"/>
      <c r="GY16" s="101"/>
      <c r="GZ16" s="101"/>
      <c r="HA16" s="101"/>
      <c r="HB16" s="101"/>
      <c r="HC16" s="101"/>
      <c r="HD16" s="101"/>
      <c r="HE16" s="101"/>
      <c r="HF16" s="101"/>
      <c r="HG16" s="101"/>
      <c r="XCR16" s="101"/>
      <c r="XCS16" s="101"/>
      <c r="XCT16" s="101"/>
      <c r="XCU16" s="101"/>
      <c r="XCV16" s="101"/>
      <c r="XCW16" s="101"/>
      <c r="XCX16" s="101"/>
      <c r="XCY16" s="101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</row>
    <row r="17" s="1" customFormat="1" ht="16.5" customHeight="1" spans="1:16354">
      <c r="A17" s="30"/>
      <c r="B17" s="32">
        <v>2</v>
      </c>
      <c r="C17" s="41" t="s">
        <v>43</v>
      </c>
      <c r="D17" s="47" t="s">
        <v>158</v>
      </c>
      <c r="E17" s="33" t="s">
        <v>159</v>
      </c>
      <c r="F17" s="33" t="s">
        <v>154</v>
      </c>
      <c r="G17" s="43">
        <v>34000</v>
      </c>
      <c r="H17" s="33">
        <v>11000</v>
      </c>
      <c r="I17" s="33" t="s">
        <v>25</v>
      </c>
      <c r="J17" s="76">
        <v>2062</v>
      </c>
      <c r="K17" s="61">
        <v>5027</v>
      </c>
      <c r="L17" s="61">
        <f t="shared" si="3"/>
        <v>-2965</v>
      </c>
      <c r="M17" s="74">
        <f t="shared" si="0"/>
        <v>-0.589814999005371</v>
      </c>
      <c r="N17" s="76">
        <f t="shared" ref="N17:N24" si="10">H17-J17</f>
        <v>8938</v>
      </c>
      <c r="O17" s="74">
        <f t="shared" si="5"/>
        <v>0.0606470588235294</v>
      </c>
      <c r="P17" s="61">
        <f>J17-H17</f>
        <v>-8938</v>
      </c>
      <c r="Q17" s="33">
        <v>8500</v>
      </c>
      <c r="R17" s="33">
        <v>3200</v>
      </c>
      <c r="S17" s="82">
        <v>0</v>
      </c>
      <c r="T17" s="52">
        <v>-235</v>
      </c>
      <c r="U17" s="33">
        <v>1676</v>
      </c>
      <c r="V17" s="33">
        <f t="shared" si="6"/>
        <v>-1911</v>
      </c>
      <c r="W17" s="74">
        <f t="shared" ref="W17:W36" si="11">(T17-U17)/ABS(U17)</f>
        <v>-1.14021479713604</v>
      </c>
      <c r="X17" s="97">
        <f t="shared" ref="X15:X26" si="12">T17/Q17</f>
        <v>-0.0276470588235294</v>
      </c>
      <c r="Y17" s="102" t="s">
        <v>164</v>
      </c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XCR17" s="101"/>
      <c r="XCS17" s="101"/>
      <c r="XCT17" s="101"/>
      <c r="XCU17" s="101"/>
      <c r="XCV17" s="101"/>
      <c r="XCW17" s="101"/>
      <c r="XCX17" s="101"/>
      <c r="XCY17" s="101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</row>
    <row r="18" s="1" customFormat="1" ht="16.5" customHeight="1" spans="1:16354">
      <c r="A18" s="30"/>
      <c r="B18" s="32">
        <v>3</v>
      </c>
      <c r="C18" s="41" t="s">
        <v>42</v>
      </c>
      <c r="D18" s="42" t="s">
        <v>158</v>
      </c>
      <c r="E18" s="43" t="s">
        <v>159</v>
      </c>
      <c r="F18" s="43" t="s">
        <v>154</v>
      </c>
      <c r="G18" s="43">
        <v>60000</v>
      </c>
      <c r="H18" s="33">
        <v>38000</v>
      </c>
      <c r="I18" s="43">
        <v>38000</v>
      </c>
      <c r="J18" s="77">
        <v>36990</v>
      </c>
      <c r="K18" s="61">
        <v>44710</v>
      </c>
      <c r="L18" s="61">
        <f t="shared" si="3"/>
        <v>-7720</v>
      </c>
      <c r="M18" s="74">
        <f t="shared" si="0"/>
        <v>-0.172668306866473</v>
      </c>
      <c r="N18" s="76">
        <f t="shared" si="10"/>
        <v>1010</v>
      </c>
      <c r="O18" s="74">
        <f t="shared" si="5"/>
        <v>0.6165</v>
      </c>
      <c r="P18" s="61">
        <f t="shared" si="8"/>
        <v>-1010</v>
      </c>
      <c r="Q18" s="33">
        <v>1500</v>
      </c>
      <c r="R18" s="33">
        <v>320</v>
      </c>
      <c r="S18" s="82">
        <v>0</v>
      </c>
      <c r="T18" s="52">
        <v>500</v>
      </c>
      <c r="U18" s="33">
        <v>500</v>
      </c>
      <c r="V18" s="33">
        <f t="shared" si="6"/>
        <v>0</v>
      </c>
      <c r="W18" s="74">
        <f t="shared" si="11"/>
        <v>0</v>
      </c>
      <c r="X18" s="97">
        <f t="shared" si="12"/>
        <v>0.333333333333333</v>
      </c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1"/>
      <c r="DW18" s="101"/>
      <c r="DX18" s="10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  <c r="EL18" s="101"/>
      <c r="EM18" s="101"/>
      <c r="EN18" s="101"/>
      <c r="EO18" s="101"/>
      <c r="EP18" s="101"/>
      <c r="EQ18" s="101"/>
      <c r="ER18" s="101"/>
      <c r="ES18" s="101"/>
      <c r="ET18" s="101"/>
      <c r="EU18" s="101"/>
      <c r="EV18" s="101"/>
      <c r="EW18" s="101"/>
      <c r="EX18" s="101"/>
      <c r="EY18" s="101"/>
      <c r="EZ18" s="101"/>
      <c r="FA18" s="101"/>
      <c r="FB18" s="101"/>
      <c r="FC18" s="101"/>
      <c r="FD18" s="101"/>
      <c r="FE18" s="101"/>
      <c r="FF18" s="101"/>
      <c r="FG18" s="101"/>
      <c r="FH18" s="101"/>
      <c r="FI18" s="101"/>
      <c r="FJ18" s="101"/>
      <c r="FK18" s="101"/>
      <c r="FL18" s="101"/>
      <c r="FM18" s="101"/>
      <c r="FN18" s="101"/>
      <c r="FO18" s="101"/>
      <c r="FP18" s="101"/>
      <c r="FQ18" s="101"/>
      <c r="FR18" s="101"/>
      <c r="FS18" s="101"/>
      <c r="FT18" s="101"/>
      <c r="FU18" s="101"/>
      <c r="FV18" s="101"/>
      <c r="FW18" s="101"/>
      <c r="FX18" s="101"/>
      <c r="FY18" s="101"/>
      <c r="FZ18" s="101"/>
      <c r="GA18" s="101"/>
      <c r="GB18" s="101"/>
      <c r="GC18" s="101"/>
      <c r="GD18" s="101"/>
      <c r="GE18" s="101"/>
      <c r="GF18" s="101"/>
      <c r="GG18" s="101"/>
      <c r="GH18" s="101"/>
      <c r="GI18" s="101"/>
      <c r="GJ18" s="101"/>
      <c r="GK18" s="101"/>
      <c r="GL18" s="101"/>
      <c r="GM18" s="101"/>
      <c r="GN18" s="101"/>
      <c r="GO18" s="101"/>
      <c r="GP18" s="101"/>
      <c r="GQ18" s="101"/>
      <c r="GR18" s="101"/>
      <c r="GS18" s="101"/>
      <c r="GT18" s="101"/>
      <c r="GU18" s="101"/>
      <c r="GV18" s="101"/>
      <c r="GW18" s="101"/>
      <c r="GX18" s="101"/>
      <c r="GY18" s="101"/>
      <c r="GZ18" s="101"/>
      <c r="HA18" s="101"/>
      <c r="HB18" s="101"/>
      <c r="HC18" s="101"/>
      <c r="HD18" s="101"/>
      <c r="HE18" s="101"/>
      <c r="HF18" s="101"/>
      <c r="HG18" s="101"/>
      <c r="XCR18" s="101"/>
      <c r="XCS18" s="101"/>
      <c r="XCT18" s="101"/>
      <c r="XCU18" s="101"/>
      <c r="XCV18" s="101"/>
      <c r="XCW18" s="101"/>
      <c r="XCX18" s="101"/>
      <c r="XCY18" s="101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</row>
    <row r="19" s="1" customFormat="1" ht="16.5" customHeight="1" spans="1:16354">
      <c r="A19" s="30"/>
      <c r="B19" s="44"/>
      <c r="C19" s="48" t="s">
        <v>161</v>
      </c>
      <c r="D19" s="33"/>
      <c r="E19" s="43"/>
      <c r="F19" s="43"/>
      <c r="G19" s="43">
        <f t="shared" ref="G19:K19" si="13">G18-G20</f>
        <v>40000</v>
      </c>
      <c r="H19" s="46">
        <f t="shared" si="13"/>
        <v>26000</v>
      </c>
      <c r="I19" s="43">
        <v>26000</v>
      </c>
      <c r="J19" s="76">
        <f t="shared" si="13"/>
        <v>13990</v>
      </c>
      <c r="K19" s="46">
        <f t="shared" si="13"/>
        <v>10834</v>
      </c>
      <c r="L19" s="61">
        <f t="shared" si="3"/>
        <v>3156</v>
      </c>
      <c r="M19" s="74">
        <f t="shared" si="0"/>
        <v>0.29130515045228</v>
      </c>
      <c r="N19" s="76"/>
      <c r="O19" s="74">
        <f t="shared" si="5"/>
        <v>0.34975</v>
      </c>
      <c r="P19" s="61"/>
      <c r="Q19" s="82">
        <v>0</v>
      </c>
      <c r="R19" s="82">
        <v>0</v>
      </c>
      <c r="S19" s="82">
        <v>0</v>
      </c>
      <c r="T19" s="98">
        <v>0</v>
      </c>
      <c r="U19" s="82">
        <v>0</v>
      </c>
      <c r="V19" s="82"/>
      <c r="W19" s="82">
        <v>0</v>
      </c>
      <c r="X19" s="97" t="s">
        <v>25</v>
      </c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/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/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/>
      <c r="GV19" s="101"/>
      <c r="GW19" s="101"/>
      <c r="GX19" s="101"/>
      <c r="GY19" s="101"/>
      <c r="GZ19" s="101"/>
      <c r="HA19" s="101"/>
      <c r="HB19" s="101"/>
      <c r="HC19" s="101"/>
      <c r="HD19" s="101"/>
      <c r="HE19" s="101"/>
      <c r="HF19" s="101"/>
      <c r="HG19" s="101"/>
      <c r="XCR19" s="101"/>
      <c r="XCS19" s="101"/>
      <c r="XCT19" s="101"/>
      <c r="XCU19" s="101"/>
      <c r="XCV19" s="101"/>
      <c r="XCW19" s="101"/>
      <c r="XCX19" s="101"/>
      <c r="XCY19" s="101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</row>
    <row r="20" s="1" customFormat="1" ht="16.5" customHeight="1" spans="1:16354">
      <c r="A20" s="30"/>
      <c r="B20" s="44"/>
      <c r="C20" s="48" t="s">
        <v>162</v>
      </c>
      <c r="D20" s="43" t="s">
        <v>163</v>
      </c>
      <c r="E20" s="43"/>
      <c r="F20" s="43"/>
      <c r="G20" s="43">
        <v>20000</v>
      </c>
      <c r="H20" s="33">
        <v>12000</v>
      </c>
      <c r="I20" s="43">
        <v>12000</v>
      </c>
      <c r="J20" s="76">
        <v>23000</v>
      </c>
      <c r="K20" s="61">
        <v>33876</v>
      </c>
      <c r="L20" s="61">
        <f t="shared" si="3"/>
        <v>-10876</v>
      </c>
      <c r="M20" s="74">
        <f t="shared" si="0"/>
        <v>-0.321053253040501</v>
      </c>
      <c r="N20" s="76"/>
      <c r="O20" s="74">
        <f t="shared" si="5"/>
        <v>1.15</v>
      </c>
      <c r="P20" s="61"/>
      <c r="Q20" s="82">
        <v>0</v>
      </c>
      <c r="R20" s="82">
        <v>0</v>
      </c>
      <c r="S20" s="82">
        <v>0</v>
      </c>
      <c r="T20" s="98">
        <v>0</v>
      </c>
      <c r="U20" s="82">
        <v>0</v>
      </c>
      <c r="V20" s="82"/>
      <c r="W20" s="82">
        <v>0</v>
      </c>
      <c r="X20" s="97" t="s">
        <v>25</v>
      </c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  <c r="CT20" s="101"/>
      <c r="CU20" s="101"/>
      <c r="CV20" s="101"/>
      <c r="CW20" s="101"/>
      <c r="CX20" s="101"/>
      <c r="CY20" s="101"/>
      <c r="CZ20" s="101"/>
      <c r="DA20" s="101"/>
      <c r="DB20" s="101"/>
      <c r="DC20" s="101"/>
      <c r="DD20" s="101"/>
      <c r="DE20" s="101"/>
      <c r="DF20" s="101"/>
      <c r="DG20" s="101"/>
      <c r="DH20" s="101"/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  <c r="EL20" s="101"/>
      <c r="EM20" s="101"/>
      <c r="EN20" s="101"/>
      <c r="EO20" s="101"/>
      <c r="EP20" s="101"/>
      <c r="EQ20" s="101"/>
      <c r="ER20" s="101"/>
      <c r="ES20" s="101"/>
      <c r="ET20" s="101"/>
      <c r="EU20" s="101"/>
      <c r="EV20" s="101"/>
      <c r="EW20" s="101"/>
      <c r="EX20" s="101"/>
      <c r="EY20" s="101"/>
      <c r="EZ20" s="101"/>
      <c r="FA20" s="101"/>
      <c r="FB20" s="101"/>
      <c r="FC20" s="101"/>
      <c r="FD20" s="101"/>
      <c r="FE20" s="101"/>
      <c r="FF20" s="101"/>
      <c r="FG20" s="101"/>
      <c r="FH20" s="101"/>
      <c r="FI20" s="101"/>
      <c r="FJ20" s="101"/>
      <c r="FK20" s="101"/>
      <c r="FL20" s="101"/>
      <c r="FM20" s="101"/>
      <c r="FN20" s="101"/>
      <c r="FO20" s="101"/>
      <c r="FP20" s="101"/>
      <c r="FQ20" s="101"/>
      <c r="FR20" s="101"/>
      <c r="FS20" s="101"/>
      <c r="FT20" s="101"/>
      <c r="FU20" s="101"/>
      <c r="FV20" s="101"/>
      <c r="FW20" s="101"/>
      <c r="FX20" s="101"/>
      <c r="FY20" s="101"/>
      <c r="FZ20" s="101"/>
      <c r="GA20" s="101"/>
      <c r="GB20" s="101"/>
      <c r="GC20" s="101"/>
      <c r="GD20" s="101"/>
      <c r="GE20" s="101"/>
      <c r="GF20" s="101"/>
      <c r="GG20" s="101"/>
      <c r="GH20" s="101"/>
      <c r="GI20" s="101"/>
      <c r="GJ20" s="101"/>
      <c r="GK20" s="101"/>
      <c r="GL20" s="101"/>
      <c r="GM20" s="101"/>
      <c r="GN20" s="101"/>
      <c r="GO20" s="101"/>
      <c r="GP20" s="101"/>
      <c r="GQ20" s="101"/>
      <c r="GR20" s="101"/>
      <c r="GS20" s="101"/>
      <c r="GT20" s="101"/>
      <c r="GU20" s="101"/>
      <c r="GV20" s="101"/>
      <c r="GW20" s="101"/>
      <c r="GX20" s="101"/>
      <c r="GY20" s="101"/>
      <c r="GZ20" s="101"/>
      <c r="HA20" s="101"/>
      <c r="HB20" s="101"/>
      <c r="HC20" s="101"/>
      <c r="HD20" s="101"/>
      <c r="HE20" s="101"/>
      <c r="HF20" s="101"/>
      <c r="HG20" s="101"/>
      <c r="XCR20" s="101"/>
      <c r="XCS20" s="101"/>
      <c r="XCT20" s="101"/>
      <c r="XCU20" s="101"/>
      <c r="XCV20" s="101"/>
      <c r="XCW20" s="101"/>
      <c r="XCX20" s="101"/>
      <c r="XCY20" s="101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</row>
    <row r="21" s="6" customFormat="1" ht="16.5" customHeight="1" spans="1:16356">
      <c r="A21" s="49"/>
      <c r="B21" s="50">
        <v>6599</v>
      </c>
      <c r="C21" s="41" t="s">
        <v>45</v>
      </c>
      <c r="D21" s="42" t="s">
        <v>158</v>
      </c>
      <c r="E21" s="51" t="s">
        <v>159</v>
      </c>
      <c r="F21" s="51" t="s">
        <v>154</v>
      </c>
      <c r="G21" s="43">
        <v>111000</v>
      </c>
      <c r="H21" s="52">
        <v>46000</v>
      </c>
      <c r="I21" s="52">
        <v>47000</v>
      </c>
      <c r="J21" s="76">
        <v>41957</v>
      </c>
      <c r="K21" s="61">
        <v>55529</v>
      </c>
      <c r="L21" s="61">
        <f t="shared" si="3"/>
        <v>-13572</v>
      </c>
      <c r="M21" s="74">
        <f t="shared" si="0"/>
        <v>-0.244412829332421</v>
      </c>
      <c r="N21" s="76">
        <f>I21-J21</f>
        <v>5043</v>
      </c>
      <c r="O21" s="74">
        <f t="shared" si="5"/>
        <v>0.377990990990991</v>
      </c>
      <c r="P21" s="61">
        <f>J21-I21</f>
        <v>-5043</v>
      </c>
      <c r="Q21" s="52">
        <v>11600</v>
      </c>
      <c r="R21" s="52">
        <v>4700</v>
      </c>
      <c r="S21" s="52">
        <v>5390</v>
      </c>
      <c r="T21" s="52">
        <v>5050</v>
      </c>
      <c r="U21" s="52">
        <v>5396</v>
      </c>
      <c r="V21" s="33">
        <f t="shared" ref="V21:V25" si="14">T21-U21</f>
        <v>-346</v>
      </c>
      <c r="W21" s="74">
        <f t="shared" si="11"/>
        <v>-0.06412157153447</v>
      </c>
      <c r="X21" s="97">
        <f t="shared" si="12"/>
        <v>0.435344827586207</v>
      </c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XCR21" s="103"/>
      <c r="XCS21" s="103"/>
      <c r="XCT21" s="103"/>
      <c r="XCU21" s="103"/>
      <c r="XCV21" s="103"/>
      <c r="XCW21" s="103"/>
      <c r="XCX21" s="103"/>
      <c r="XCY21" s="103"/>
      <c r="XCZ21" s="108"/>
      <c r="XDA21" s="108"/>
      <c r="XDB21" s="108"/>
      <c r="XDC21" s="108"/>
      <c r="XDD21" s="108"/>
      <c r="XDE21" s="108"/>
      <c r="XDF21" s="108"/>
      <c r="XDG21" s="108"/>
      <c r="XDH21" s="108"/>
      <c r="XDI21" s="108"/>
      <c r="XDJ21" s="108"/>
      <c r="XDK21" s="108"/>
      <c r="XDL21" s="108"/>
      <c r="XDM21" s="108"/>
      <c r="XDN21" s="108"/>
      <c r="XDO21" s="108"/>
      <c r="XDP21" s="108"/>
      <c r="XDQ21" s="108"/>
      <c r="XDR21" s="108"/>
      <c r="XDS21" s="108"/>
      <c r="XDT21" s="108"/>
      <c r="XDU21" s="108"/>
      <c r="XDV21" s="108"/>
      <c r="XDW21" s="108"/>
      <c r="XDX21" s="108"/>
      <c r="XDY21" s="108"/>
      <c r="XDZ21" s="108"/>
      <c r="XEB21" s="108"/>
    </row>
    <row r="22" s="6" customFormat="1" ht="18.95" customHeight="1" spans="1:16356">
      <c r="A22" s="49"/>
      <c r="B22" s="50">
        <v>5</v>
      </c>
      <c r="C22" s="45" t="s">
        <v>46</v>
      </c>
      <c r="D22" s="42" t="s">
        <v>158</v>
      </c>
      <c r="E22" s="51" t="s">
        <v>159</v>
      </c>
      <c r="F22" s="51" t="s">
        <v>154</v>
      </c>
      <c r="G22" s="43">
        <v>45000</v>
      </c>
      <c r="H22" s="52">
        <v>21000</v>
      </c>
      <c r="I22" s="51" t="s">
        <v>25</v>
      </c>
      <c r="J22" s="76">
        <v>19048</v>
      </c>
      <c r="K22" s="61">
        <v>20275</v>
      </c>
      <c r="L22" s="61">
        <f t="shared" si="3"/>
        <v>-1227</v>
      </c>
      <c r="M22" s="74">
        <f t="shared" si="0"/>
        <v>-0.060517879161529</v>
      </c>
      <c r="N22" s="76">
        <f t="shared" si="10"/>
        <v>1952</v>
      </c>
      <c r="O22" s="74">
        <f t="shared" si="5"/>
        <v>0.423288888888889</v>
      </c>
      <c r="P22" s="61">
        <f t="shared" ref="P22:P24" si="15">J22-H22</f>
        <v>-1952</v>
      </c>
      <c r="Q22" s="52">
        <v>6600</v>
      </c>
      <c r="R22" s="52">
        <v>2800</v>
      </c>
      <c r="S22" s="52">
        <v>3640</v>
      </c>
      <c r="T22" s="52">
        <v>3743</v>
      </c>
      <c r="U22" s="52">
        <v>3637</v>
      </c>
      <c r="V22" s="33">
        <f t="shared" si="14"/>
        <v>106</v>
      </c>
      <c r="W22" s="74">
        <f t="shared" si="11"/>
        <v>0.0291448996425626</v>
      </c>
      <c r="X22" s="97">
        <f t="shared" si="12"/>
        <v>0.567121212121212</v>
      </c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XCR22" s="103"/>
      <c r="XCS22" s="103"/>
      <c r="XCT22" s="103"/>
      <c r="XCU22" s="103"/>
      <c r="XCV22" s="103"/>
      <c r="XCW22" s="103"/>
      <c r="XCX22" s="103"/>
      <c r="XCY22" s="103"/>
      <c r="XCZ22" s="108"/>
      <c r="XDA22" s="108"/>
      <c r="XDB22" s="108"/>
      <c r="XDC22" s="108"/>
      <c r="XDD22" s="108"/>
      <c r="XDE22" s="108"/>
      <c r="XDF22" s="108"/>
      <c r="XDG22" s="108"/>
      <c r="XDH22" s="108"/>
      <c r="XDI22" s="108"/>
      <c r="XDJ22" s="108"/>
      <c r="XDK22" s="108"/>
      <c r="XDL22" s="108"/>
      <c r="XDM22" s="108"/>
      <c r="XDN22" s="108"/>
      <c r="XDO22" s="108"/>
      <c r="XDP22" s="108"/>
      <c r="XDQ22" s="108"/>
      <c r="XDR22" s="108"/>
      <c r="XDS22" s="108"/>
      <c r="XDT22" s="108"/>
      <c r="XDU22" s="108"/>
      <c r="XDV22" s="108"/>
      <c r="XDW22" s="108"/>
      <c r="XDX22" s="108"/>
      <c r="XDY22" s="108"/>
      <c r="XDZ22" s="108"/>
      <c r="XEB22" s="108"/>
    </row>
    <row r="23" s="1" customFormat="1" ht="18" customHeight="1" spans="1:16354">
      <c r="A23" s="30"/>
      <c r="B23" s="32">
        <v>6</v>
      </c>
      <c r="C23" s="48" t="s">
        <v>47</v>
      </c>
      <c r="D23" s="42" t="s">
        <v>158</v>
      </c>
      <c r="E23" s="43" t="s">
        <v>159</v>
      </c>
      <c r="F23" s="43" t="s">
        <v>154</v>
      </c>
      <c r="G23" s="43">
        <v>27000</v>
      </c>
      <c r="H23" s="33">
        <v>8500</v>
      </c>
      <c r="I23" s="43" t="s">
        <v>25</v>
      </c>
      <c r="J23" s="76">
        <v>8502</v>
      </c>
      <c r="K23" s="61">
        <v>7600</v>
      </c>
      <c r="L23" s="61">
        <f t="shared" si="3"/>
        <v>902</v>
      </c>
      <c r="M23" s="74">
        <f t="shared" si="0"/>
        <v>0.118684210526316</v>
      </c>
      <c r="N23" s="76">
        <f t="shared" si="10"/>
        <v>-2</v>
      </c>
      <c r="O23" s="74">
        <f t="shared" si="5"/>
        <v>0.314888888888889</v>
      </c>
      <c r="P23" s="61">
        <f t="shared" si="15"/>
        <v>2</v>
      </c>
      <c r="Q23" s="33">
        <v>3300</v>
      </c>
      <c r="R23" s="33">
        <v>1200</v>
      </c>
      <c r="S23" s="82">
        <v>0</v>
      </c>
      <c r="T23" s="52">
        <v>1051</v>
      </c>
      <c r="U23" s="33">
        <v>1112</v>
      </c>
      <c r="V23" s="33">
        <f t="shared" si="14"/>
        <v>-61</v>
      </c>
      <c r="W23" s="74">
        <f t="shared" si="11"/>
        <v>-0.0548561151079137</v>
      </c>
      <c r="X23" s="97">
        <f t="shared" si="12"/>
        <v>0.318484848484848</v>
      </c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  <c r="CT23" s="101"/>
      <c r="CU23" s="101"/>
      <c r="CV23" s="101"/>
      <c r="CW23" s="101"/>
      <c r="CX23" s="101"/>
      <c r="CY23" s="101"/>
      <c r="CZ23" s="101"/>
      <c r="DA23" s="101"/>
      <c r="DB23" s="101"/>
      <c r="DC23" s="101"/>
      <c r="DD23" s="101"/>
      <c r="DE23" s="101"/>
      <c r="DF23" s="101"/>
      <c r="DG23" s="101"/>
      <c r="DH23" s="101"/>
      <c r="DI23" s="101"/>
      <c r="DJ23" s="101"/>
      <c r="DK23" s="101"/>
      <c r="DL23" s="101"/>
      <c r="DM23" s="101"/>
      <c r="DN23" s="101"/>
      <c r="DO23" s="101"/>
      <c r="DP23" s="101"/>
      <c r="DQ23" s="101"/>
      <c r="DR23" s="101"/>
      <c r="DS23" s="101"/>
      <c r="DT23" s="101"/>
      <c r="DU23" s="101"/>
      <c r="DV23" s="101"/>
      <c r="DW23" s="101"/>
      <c r="DX23" s="101"/>
      <c r="DY23" s="101"/>
      <c r="DZ23" s="101"/>
      <c r="EA23" s="101"/>
      <c r="EB23" s="101"/>
      <c r="EC23" s="101"/>
      <c r="ED23" s="101"/>
      <c r="EE23" s="101"/>
      <c r="EF23" s="101"/>
      <c r="EG23" s="101"/>
      <c r="EH23" s="101"/>
      <c r="EI23" s="101"/>
      <c r="EJ23" s="101"/>
      <c r="EK23" s="101"/>
      <c r="EL23" s="101"/>
      <c r="EM23" s="101"/>
      <c r="EN23" s="101"/>
      <c r="EO23" s="101"/>
      <c r="EP23" s="101"/>
      <c r="EQ23" s="101"/>
      <c r="ER23" s="101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1"/>
      <c r="FF23" s="101"/>
      <c r="FG23" s="101"/>
      <c r="FH23" s="101"/>
      <c r="FI23" s="101"/>
      <c r="FJ23" s="101"/>
      <c r="FK23" s="101"/>
      <c r="FL23" s="101"/>
      <c r="FM23" s="101"/>
      <c r="FN23" s="101"/>
      <c r="FO23" s="101"/>
      <c r="FP23" s="101"/>
      <c r="FQ23" s="101"/>
      <c r="FR23" s="101"/>
      <c r="FS23" s="101"/>
      <c r="FT23" s="101"/>
      <c r="FU23" s="101"/>
      <c r="FV23" s="101"/>
      <c r="FW23" s="101"/>
      <c r="FX23" s="101"/>
      <c r="FY23" s="101"/>
      <c r="FZ23" s="101"/>
      <c r="GA23" s="101"/>
      <c r="GB23" s="101"/>
      <c r="GC23" s="101"/>
      <c r="GD23" s="101"/>
      <c r="GE23" s="101"/>
      <c r="GF23" s="101"/>
      <c r="GG23" s="101"/>
      <c r="GH23" s="101"/>
      <c r="GI23" s="101"/>
      <c r="GJ23" s="101"/>
      <c r="GK23" s="101"/>
      <c r="GL23" s="101"/>
      <c r="GM23" s="101"/>
      <c r="GN23" s="101"/>
      <c r="GO23" s="101"/>
      <c r="GP23" s="101"/>
      <c r="GQ23" s="101"/>
      <c r="GR23" s="101"/>
      <c r="GS23" s="101"/>
      <c r="GT23" s="101"/>
      <c r="GU23" s="101"/>
      <c r="GV23" s="101"/>
      <c r="GW23" s="101"/>
      <c r="GX23" s="101"/>
      <c r="GY23" s="101"/>
      <c r="GZ23" s="101"/>
      <c r="HA23" s="101"/>
      <c r="HB23" s="101"/>
      <c r="HC23" s="101"/>
      <c r="HD23" s="101"/>
      <c r="HE23" s="101"/>
      <c r="HF23" s="101"/>
      <c r="HG23" s="101"/>
      <c r="XCR23" s="101"/>
      <c r="XCS23" s="101"/>
      <c r="XCT23" s="101"/>
      <c r="XCU23" s="101"/>
      <c r="XCV23" s="101"/>
      <c r="XCW23" s="101"/>
      <c r="XCX23" s="101"/>
      <c r="XCY23" s="101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</row>
    <row r="24" s="1" customFormat="1" ht="18.95" customHeight="1" spans="1:16354">
      <c r="A24" s="30"/>
      <c r="B24" s="32">
        <v>7</v>
      </c>
      <c r="C24" s="48" t="s">
        <v>48</v>
      </c>
      <c r="D24" s="47" t="s">
        <v>158</v>
      </c>
      <c r="E24" s="33" t="s">
        <v>159</v>
      </c>
      <c r="F24" s="33" t="s">
        <v>154</v>
      </c>
      <c r="G24" s="43">
        <v>26000</v>
      </c>
      <c r="H24" s="33">
        <v>13000</v>
      </c>
      <c r="I24" s="33" t="s">
        <v>25</v>
      </c>
      <c r="J24" s="76">
        <v>11061</v>
      </c>
      <c r="K24" s="61">
        <v>10050</v>
      </c>
      <c r="L24" s="61">
        <f t="shared" si="3"/>
        <v>1011</v>
      </c>
      <c r="M24" s="74">
        <f t="shared" si="0"/>
        <v>0.100597014925373</v>
      </c>
      <c r="N24" s="76">
        <f t="shared" si="10"/>
        <v>1939</v>
      </c>
      <c r="O24" s="74">
        <f t="shared" si="5"/>
        <v>0.425423076923077</v>
      </c>
      <c r="P24" s="61">
        <f t="shared" si="15"/>
        <v>-1939</v>
      </c>
      <c r="Q24" s="33">
        <v>2500</v>
      </c>
      <c r="R24" s="33">
        <v>100</v>
      </c>
      <c r="S24" s="82">
        <v>0</v>
      </c>
      <c r="T24" s="52">
        <v>116</v>
      </c>
      <c r="U24" s="33">
        <v>646</v>
      </c>
      <c r="V24" s="33">
        <f t="shared" si="14"/>
        <v>-530</v>
      </c>
      <c r="W24" s="74">
        <f t="shared" si="11"/>
        <v>-0.820433436532508</v>
      </c>
      <c r="X24" s="97">
        <f t="shared" si="12"/>
        <v>0.0464</v>
      </c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  <c r="CT24" s="101"/>
      <c r="CU24" s="101"/>
      <c r="CV24" s="101"/>
      <c r="CW24" s="101"/>
      <c r="CX24" s="101"/>
      <c r="CY24" s="101"/>
      <c r="CZ24" s="101"/>
      <c r="DA24" s="101"/>
      <c r="DB24" s="101"/>
      <c r="DC24" s="101"/>
      <c r="DD24" s="101"/>
      <c r="DE24" s="101"/>
      <c r="DF24" s="101"/>
      <c r="DG24" s="101"/>
      <c r="DH24" s="101"/>
      <c r="DI24" s="101"/>
      <c r="DJ24" s="101"/>
      <c r="DK24" s="101"/>
      <c r="DL24" s="101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  <c r="EQ24" s="101"/>
      <c r="ER24" s="101"/>
      <c r="ES24" s="101"/>
      <c r="ET24" s="101"/>
      <c r="EU24" s="101"/>
      <c r="EV24" s="101"/>
      <c r="EW24" s="101"/>
      <c r="EX24" s="101"/>
      <c r="EY24" s="101"/>
      <c r="EZ24" s="101"/>
      <c r="FA24" s="101"/>
      <c r="FB24" s="101"/>
      <c r="FC24" s="101"/>
      <c r="FD24" s="101"/>
      <c r="FE24" s="101"/>
      <c r="FF24" s="101"/>
      <c r="FG24" s="101"/>
      <c r="FH24" s="101"/>
      <c r="FI24" s="101"/>
      <c r="FJ24" s="101"/>
      <c r="FK24" s="101"/>
      <c r="FL24" s="101"/>
      <c r="FM24" s="101"/>
      <c r="FN24" s="101"/>
      <c r="FO24" s="101"/>
      <c r="FP24" s="101"/>
      <c r="FQ24" s="101"/>
      <c r="FR24" s="101"/>
      <c r="FS24" s="101"/>
      <c r="FT24" s="101"/>
      <c r="FU24" s="101"/>
      <c r="FV24" s="101"/>
      <c r="FW24" s="101"/>
      <c r="FX24" s="101"/>
      <c r="FY24" s="101"/>
      <c r="FZ24" s="101"/>
      <c r="GA24" s="101"/>
      <c r="GB24" s="101"/>
      <c r="GC24" s="101"/>
      <c r="GD24" s="101"/>
      <c r="GE24" s="101"/>
      <c r="GF24" s="101"/>
      <c r="GG24" s="101"/>
      <c r="GH24" s="101"/>
      <c r="GI24" s="101"/>
      <c r="GJ24" s="101"/>
      <c r="GK24" s="101"/>
      <c r="GL24" s="101"/>
      <c r="GM24" s="101"/>
      <c r="GN24" s="101"/>
      <c r="GO24" s="101"/>
      <c r="GP24" s="101"/>
      <c r="GQ24" s="101"/>
      <c r="GR24" s="101"/>
      <c r="GS24" s="101"/>
      <c r="GT24" s="101"/>
      <c r="GU24" s="101"/>
      <c r="GV24" s="101"/>
      <c r="GW24" s="101"/>
      <c r="GX24" s="101"/>
      <c r="GY24" s="101"/>
      <c r="GZ24" s="101"/>
      <c r="HA24" s="101"/>
      <c r="HB24" s="101"/>
      <c r="HC24" s="101"/>
      <c r="HD24" s="101"/>
      <c r="HE24" s="101"/>
      <c r="HF24" s="101"/>
      <c r="HG24" s="101"/>
      <c r="XCR24" s="101"/>
      <c r="XCS24" s="101"/>
      <c r="XCT24" s="101"/>
      <c r="XCU24" s="101"/>
      <c r="XCV24" s="101"/>
      <c r="XCW24" s="101"/>
      <c r="XCX24" s="101"/>
      <c r="XCY24" s="101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</row>
    <row r="25" s="1" customFormat="1" ht="23" customHeight="1" spans="1:16354">
      <c r="A25" s="30"/>
      <c r="B25" s="32">
        <v>8</v>
      </c>
      <c r="C25" s="48" t="s">
        <v>44</v>
      </c>
      <c r="D25" s="42" t="s">
        <v>158</v>
      </c>
      <c r="E25" s="43" t="s">
        <v>159</v>
      </c>
      <c r="F25" s="43" t="s">
        <v>154</v>
      </c>
      <c r="G25" s="43">
        <v>2300</v>
      </c>
      <c r="H25" s="33">
        <v>0</v>
      </c>
      <c r="I25" s="43" t="s">
        <v>25</v>
      </c>
      <c r="J25" s="76">
        <v>88</v>
      </c>
      <c r="K25" s="46">
        <v>0</v>
      </c>
      <c r="L25" s="61">
        <f t="shared" si="3"/>
        <v>88</v>
      </c>
      <c r="M25" s="74" t="s">
        <v>25</v>
      </c>
      <c r="N25" s="74" t="s">
        <v>25</v>
      </c>
      <c r="O25" s="74">
        <f t="shared" si="5"/>
        <v>0.0382608695652174</v>
      </c>
      <c r="P25" s="61"/>
      <c r="Q25" s="33">
        <v>-4600</v>
      </c>
      <c r="R25" s="33">
        <v>-2100</v>
      </c>
      <c r="S25" s="82">
        <v>0</v>
      </c>
      <c r="T25" s="52">
        <v>-969</v>
      </c>
      <c r="U25" s="33">
        <v>-730</v>
      </c>
      <c r="V25" s="33">
        <f t="shared" si="14"/>
        <v>-239</v>
      </c>
      <c r="W25" s="74">
        <f t="shared" si="11"/>
        <v>-0.327397260273973</v>
      </c>
      <c r="X25" s="97">
        <f t="shared" si="12"/>
        <v>0.210652173913043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</row>
    <row r="26" s="3" customFormat="1" ht="18.6" customHeight="1" spans="1:16354">
      <c r="A26" s="30" t="s">
        <v>5</v>
      </c>
      <c r="B26" s="35"/>
      <c r="C26" s="36" t="s">
        <v>156</v>
      </c>
      <c r="D26" s="37"/>
      <c r="E26" s="38"/>
      <c r="F26" s="38"/>
      <c r="G26" s="53">
        <f t="shared" ref="G26:K26" si="16">G27+G31+G34+G30</f>
        <v>459000</v>
      </c>
      <c r="H26" s="37">
        <f t="shared" si="16"/>
        <v>186500</v>
      </c>
      <c r="I26" s="37" t="s">
        <v>25</v>
      </c>
      <c r="J26" s="37">
        <f t="shared" si="16"/>
        <v>156011</v>
      </c>
      <c r="K26" s="37">
        <f t="shared" si="16"/>
        <v>153966</v>
      </c>
      <c r="L26" s="37"/>
      <c r="M26" s="75">
        <f t="shared" ref="M26:M55" si="17">J26/K26-1</f>
        <v>0.013282153202655</v>
      </c>
      <c r="N26" s="66">
        <f>H26-J26</f>
        <v>30489</v>
      </c>
      <c r="O26" s="67">
        <f t="shared" si="5"/>
        <v>0.339893246187364</v>
      </c>
      <c r="P26" s="39">
        <f>P27+P31+P34+P30</f>
        <v>-47313</v>
      </c>
      <c r="Q26" s="37">
        <f>Q27+Q31+Q34+Q30</f>
        <v>19300</v>
      </c>
      <c r="R26" s="37">
        <f>R27+R31+R34+R30</f>
        <v>6060</v>
      </c>
      <c r="S26" s="37" t="s">
        <v>25</v>
      </c>
      <c r="T26" s="39">
        <f>T27+T31+T34+T30</f>
        <v>5260.6</v>
      </c>
      <c r="U26" s="37">
        <f>U27+U31+U34+U30</f>
        <v>3899</v>
      </c>
      <c r="V26" s="91">
        <f t="shared" ref="V26:V34" si="18">T26-U26</f>
        <v>1361.6</v>
      </c>
      <c r="W26" s="75">
        <f t="shared" si="11"/>
        <v>0.349217748140549</v>
      </c>
      <c r="X26" s="92">
        <f t="shared" si="12"/>
        <v>0.272569948186529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XCR26" s="107"/>
      <c r="XCS26" s="107"/>
      <c r="XCT26" s="107"/>
      <c r="XCU26" s="107"/>
      <c r="XCV26" s="107"/>
      <c r="XCW26" s="107"/>
      <c r="XCX26" s="107"/>
      <c r="XCY26" s="107"/>
      <c r="XCZ26" s="107"/>
      <c r="XDA26" s="107"/>
      <c r="XDB26" s="107"/>
      <c r="XDC26" s="107"/>
      <c r="XDD26" s="107"/>
      <c r="XDE26" s="107"/>
      <c r="XDF26" s="107"/>
      <c r="XDG26" s="107"/>
      <c r="XDH26" s="107"/>
      <c r="XDI26" s="107"/>
      <c r="XDJ26" s="107"/>
      <c r="XDK26" s="107"/>
      <c r="XDL26" s="107"/>
      <c r="XDM26" s="107"/>
      <c r="XDN26" s="107"/>
      <c r="XDO26" s="107"/>
      <c r="XDP26" s="107"/>
      <c r="XDQ26" s="107"/>
      <c r="XDR26" s="107"/>
      <c r="XDS26" s="107"/>
      <c r="XDT26" s="107"/>
      <c r="XDU26" s="107"/>
      <c r="XDV26" s="107"/>
      <c r="XDW26" s="107"/>
      <c r="XDX26" s="107"/>
      <c r="XDY26" s="107"/>
      <c r="XDZ26" s="107"/>
    </row>
    <row r="27" s="1" customFormat="1" ht="17.85" customHeight="1" spans="1:16354">
      <c r="A27" s="30"/>
      <c r="B27" s="32">
        <v>9</v>
      </c>
      <c r="C27" s="41" t="s">
        <v>166</v>
      </c>
      <c r="D27" s="47" t="s">
        <v>167</v>
      </c>
      <c r="E27" s="43" t="s">
        <v>159</v>
      </c>
      <c r="F27" s="43" t="s">
        <v>154</v>
      </c>
      <c r="G27" s="43">
        <v>350000</v>
      </c>
      <c r="H27" s="33">
        <v>140000</v>
      </c>
      <c r="I27" s="43">
        <v>157500</v>
      </c>
      <c r="J27" s="52">
        <f>J28+J29</f>
        <v>117644</v>
      </c>
      <c r="K27" s="46">
        <f>K28+K29</f>
        <v>114383</v>
      </c>
      <c r="L27" s="61">
        <f t="shared" ref="L27:L34" si="19">J27-K27</f>
        <v>3261</v>
      </c>
      <c r="M27" s="74">
        <f t="shared" si="17"/>
        <v>0.0285094813040399</v>
      </c>
      <c r="N27" s="76">
        <f t="shared" ref="N27:N29" si="20">I27-J27</f>
        <v>39856</v>
      </c>
      <c r="O27" s="74">
        <f t="shared" si="5"/>
        <v>0.336125714285714</v>
      </c>
      <c r="P27" s="61">
        <f>J27-I27</f>
        <v>-39856</v>
      </c>
      <c r="Q27" s="33">
        <v>7300</v>
      </c>
      <c r="R27" s="33">
        <v>3400</v>
      </c>
      <c r="S27" s="33">
        <v>3400</v>
      </c>
      <c r="T27" s="76">
        <f>T28+T29</f>
        <v>3637.6</v>
      </c>
      <c r="U27" s="46">
        <f>U28+U29</f>
        <v>2135</v>
      </c>
      <c r="V27" s="33">
        <f t="shared" si="18"/>
        <v>1502.6</v>
      </c>
      <c r="W27" s="74">
        <f t="shared" si="11"/>
        <v>0.703793911007026</v>
      </c>
      <c r="X27" s="97">
        <f t="shared" ref="X27:X35" si="21">T27/Q27</f>
        <v>0.498301369863014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</row>
    <row r="28" s="1" customFormat="1" ht="17.85" customHeight="1" outlineLevel="1" spans="1:16354">
      <c r="A28" s="30"/>
      <c r="B28" s="44" t="s">
        <v>169</v>
      </c>
      <c r="C28" s="48" t="s">
        <v>170</v>
      </c>
      <c r="D28" s="33"/>
      <c r="E28" s="33"/>
      <c r="F28" s="33"/>
      <c r="G28" s="43">
        <v>250000</v>
      </c>
      <c r="H28" s="33">
        <v>95000</v>
      </c>
      <c r="I28" s="43">
        <v>101000</v>
      </c>
      <c r="J28" s="76">
        <v>80000</v>
      </c>
      <c r="K28" s="61">
        <v>80603</v>
      </c>
      <c r="L28" s="61">
        <f t="shared" si="19"/>
        <v>-603</v>
      </c>
      <c r="M28" s="74">
        <f t="shared" si="17"/>
        <v>-0.00748111112489613</v>
      </c>
      <c r="N28" s="76">
        <f t="shared" si="20"/>
        <v>21000</v>
      </c>
      <c r="O28" s="74">
        <f t="shared" si="5"/>
        <v>0.32</v>
      </c>
      <c r="P28" s="61"/>
      <c r="Q28" s="33">
        <v>3400</v>
      </c>
      <c r="R28" s="33">
        <v>1250</v>
      </c>
      <c r="S28" s="82">
        <v>0</v>
      </c>
      <c r="T28" s="99">
        <v>1500</v>
      </c>
      <c r="U28" s="46">
        <f>919-174</f>
        <v>745</v>
      </c>
      <c r="V28" s="33">
        <f t="shared" si="18"/>
        <v>755</v>
      </c>
      <c r="W28" s="74">
        <f t="shared" si="11"/>
        <v>1.01342281879195</v>
      </c>
      <c r="X28" s="97">
        <f t="shared" si="21"/>
        <v>0.441176470588235</v>
      </c>
      <c r="Y28" s="101"/>
      <c r="Z28" s="101"/>
      <c r="AA28" s="101"/>
      <c r="AB28" s="104"/>
      <c r="AC28" s="104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/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XCR28" s="101"/>
      <c r="XCS28" s="101"/>
      <c r="XCT28" s="101"/>
      <c r="XCU28" s="101"/>
      <c r="XCV28" s="101"/>
      <c r="XCW28" s="101"/>
      <c r="XCX28" s="101"/>
      <c r="XCY28" s="101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</row>
    <row r="29" s="1" customFormat="1" ht="15.95" customHeight="1" outlineLevel="1" spans="1:16354">
      <c r="A29" s="30"/>
      <c r="B29" s="44" t="s">
        <v>171</v>
      </c>
      <c r="C29" s="45" t="s">
        <v>172</v>
      </c>
      <c r="D29" s="52"/>
      <c r="E29" s="33"/>
      <c r="F29" s="33"/>
      <c r="G29" s="43">
        <v>106000</v>
      </c>
      <c r="H29" s="33">
        <v>45000</v>
      </c>
      <c r="I29" s="43">
        <v>57500</v>
      </c>
      <c r="J29" s="76">
        <f>39220-1576</f>
        <v>37644</v>
      </c>
      <c r="K29" s="61">
        <v>33780</v>
      </c>
      <c r="L29" s="61">
        <f t="shared" si="19"/>
        <v>3864</v>
      </c>
      <c r="M29" s="74">
        <f t="shared" si="17"/>
        <v>0.114387211367673</v>
      </c>
      <c r="N29" s="76">
        <f t="shared" si="20"/>
        <v>19856</v>
      </c>
      <c r="O29" s="74">
        <f t="shared" si="5"/>
        <v>0.355132075471698</v>
      </c>
      <c r="P29" s="61"/>
      <c r="Q29" s="33">
        <v>3900</v>
      </c>
      <c r="R29" s="33">
        <v>2150</v>
      </c>
      <c r="S29" s="82">
        <v>0</v>
      </c>
      <c r="T29" s="76">
        <f>3006-T78</f>
        <v>2137.6</v>
      </c>
      <c r="U29" s="46">
        <v>1390</v>
      </c>
      <c r="V29" s="33">
        <f t="shared" si="18"/>
        <v>747.6</v>
      </c>
      <c r="W29" s="74">
        <f t="shared" si="11"/>
        <v>0.537841726618705</v>
      </c>
      <c r="X29" s="97">
        <f t="shared" si="21"/>
        <v>0.548102564102564</v>
      </c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</row>
    <row r="30" s="1" customFormat="1" ht="18" customHeight="1" outlineLevel="1" spans="1:16354">
      <c r="A30" s="30"/>
      <c r="B30" s="32"/>
      <c r="C30" s="54" t="s">
        <v>52</v>
      </c>
      <c r="D30" s="47" t="s">
        <v>167</v>
      </c>
      <c r="E30" s="43" t="s">
        <v>159</v>
      </c>
      <c r="F30" s="43" t="s">
        <v>154</v>
      </c>
      <c r="G30" s="43">
        <v>0</v>
      </c>
      <c r="H30" s="33">
        <v>4500</v>
      </c>
      <c r="I30" s="78">
        <v>0</v>
      </c>
      <c r="J30" s="76">
        <v>3824</v>
      </c>
      <c r="K30" s="61">
        <v>4162</v>
      </c>
      <c r="L30" s="61">
        <f t="shared" si="19"/>
        <v>-338</v>
      </c>
      <c r="M30" s="74">
        <f t="shared" si="17"/>
        <v>-0.0812109562710236</v>
      </c>
      <c r="N30" s="76"/>
      <c r="O30" s="74" t="s">
        <v>25</v>
      </c>
      <c r="P30" s="61"/>
      <c r="Q30" s="33">
        <v>0</v>
      </c>
      <c r="R30" s="33">
        <v>160</v>
      </c>
      <c r="S30" s="82">
        <v>0</v>
      </c>
      <c r="T30" s="76">
        <v>-308</v>
      </c>
      <c r="U30" s="46">
        <v>-812</v>
      </c>
      <c r="V30" s="33">
        <f t="shared" si="18"/>
        <v>504</v>
      </c>
      <c r="W30" s="74">
        <f t="shared" si="11"/>
        <v>0.620689655172414</v>
      </c>
      <c r="X30" s="97" t="s">
        <v>25</v>
      </c>
      <c r="Y30" s="4" t="s">
        <v>175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</row>
    <row r="31" s="1" customFormat="1" ht="18" customHeight="1" spans="1:16354">
      <c r="A31" s="30"/>
      <c r="B31" s="32">
        <v>10</v>
      </c>
      <c r="C31" s="55" t="s">
        <v>176</v>
      </c>
      <c r="D31" s="47" t="s">
        <v>167</v>
      </c>
      <c r="E31" s="43" t="s">
        <v>159</v>
      </c>
      <c r="F31" s="43" t="s">
        <v>154</v>
      </c>
      <c r="G31" s="43">
        <v>79000</v>
      </c>
      <c r="H31" s="33">
        <v>32000</v>
      </c>
      <c r="I31" s="78">
        <v>0</v>
      </c>
      <c r="J31" s="52">
        <f>J32+J33</f>
        <v>27403</v>
      </c>
      <c r="K31" s="46">
        <f>K32+K33</f>
        <v>26236</v>
      </c>
      <c r="L31" s="61">
        <f t="shared" si="19"/>
        <v>1167</v>
      </c>
      <c r="M31" s="74">
        <f t="shared" si="17"/>
        <v>0.0444808659856686</v>
      </c>
      <c r="N31" s="76">
        <f t="shared" ref="N31:N39" si="22">H31-J31</f>
        <v>4597</v>
      </c>
      <c r="O31" s="74">
        <f t="shared" ref="O31:O36" si="23">J31/G31</f>
        <v>0.346873417721519</v>
      </c>
      <c r="P31" s="61">
        <f t="shared" ref="P31:P34" si="24">J31-H31</f>
        <v>-4597</v>
      </c>
      <c r="Q31" s="33">
        <v>9500</v>
      </c>
      <c r="R31" s="33">
        <v>2400</v>
      </c>
      <c r="S31" s="82">
        <v>0</v>
      </c>
      <c r="T31" s="52">
        <f>T32+T33</f>
        <v>2253</v>
      </c>
      <c r="U31" s="46">
        <f>U32+U33</f>
        <v>2281</v>
      </c>
      <c r="V31" s="33">
        <f t="shared" si="18"/>
        <v>-28</v>
      </c>
      <c r="W31" s="74">
        <f t="shared" si="11"/>
        <v>-0.0122753178430513</v>
      </c>
      <c r="X31" s="97">
        <f t="shared" si="21"/>
        <v>0.237157894736842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</row>
    <row r="32" s="1" customFormat="1" ht="17.85" customHeight="1" outlineLevel="1" spans="1:16354">
      <c r="A32" s="30"/>
      <c r="B32" s="44" t="s">
        <v>169</v>
      </c>
      <c r="C32" s="56" t="s">
        <v>119</v>
      </c>
      <c r="D32" s="57"/>
      <c r="E32" s="43"/>
      <c r="F32" s="43"/>
      <c r="G32" s="43">
        <v>54000</v>
      </c>
      <c r="H32" s="33">
        <v>22000</v>
      </c>
      <c r="I32" s="78">
        <v>0</v>
      </c>
      <c r="J32" s="76">
        <v>17509</v>
      </c>
      <c r="K32" s="61">
        <v>20229</v>
      </c>
      <c r="L32" s="61">
        <f t="shared" si="19"/>
        <v>-2720</v>
      </c>
      <c r="M32" s="74">
        <f t="shared" si="17"/>
        <v>-0.134460428098275</v>
      </c>
      <c r="N32" s="76">
        <f t="shared" si="22"/>
        <v>4491</v>
      </c>
      <c r="O32" s="74">
        <f t="shared" si="23"/>
        <v>0.324240740740741</v>
      </c>
      <c r="P32" s="61">
        <f t="shared" si="24"/>
        <v>-4491</v>
      </c>
      <c r="Q32" s="33">
        <v>8300</v>
      </c>
      <c r="R32" s="33">
        <v>2260</v>
      </c>
      <c r="S32" s="82">
        <v>0</v>
      </c>
      <c r="T32" s="76">
        <v>2221</v>
      </c>
      <c r="U32" s="46">
        <v>2140</v>
      </c>
      <c r="V32" s="33">
        <f t="shared" si="18"/>
        <v>81</v>
      </c>
      <c r="W32" s="74">
        <f t="shared" si="11"/>
        <v>0.0378504672897196</v>
      </c>
      <c r="X32" s="97">
        <f t="shared" si="21"/>
        <v>0.267590361445783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</row>
    <row r="33" s="1" customFormat="1" ht="18.95" customHeight="1" outlineLevel="1" spans="1:16354">
      <c r="A33" s="30"/>
      <c r="B33" s="44" t="s">
        <v>171</v>
      </c>
      <c r="C33" s="56" t="s">
        <v>178</v>
      </c>
      <c r="D33" s="57"/>
      <c r="E33" s="33"/>
      <c r="F33" s="33"/>
      <c r="G33" s="43">
        <v>25000</v>
      </c>
      <c r="H33" s="33">
        <v>10000</v>
      </c>
      <c r="I33" s="78">
        <v>0</v>
      </c>
      <c r="J33" s="76">
        <v>9894</v>
      </c>
      <c r="K33" s="61">
        <v>6007</v>
      </c>
      <c r="L33" s="61">
        <f t="shared" si="19"/>
        <v>3887</v>
      </c>
      <c r="M33" s="74">
        <f t="shared" si="17"/>
        <v>0.647078408523389</v>
      </c>
      <c r="N33" s="76">
        <f t="shared" si="22"/>
        <v>106</v>
      </c>
      <c r="O33" s="74">
        <f t="shared" si="23"/>
        <v>0.39576</v>
      </c>
      <c r="P33" s="61">
        <f t="shared" si="24"/>
        <v>-106</v>
      </c>
      <c r="Q33" s="33">
        <v>1200</v>
      </c>
      <c r="R33" s="33">
        <v>140</v>
      </c>
      <c r="S33" s="82">
        <v>0</v>
      </c>
      <c r="T33" s="76">
        <v>32</v>
      </c>
      <c r="U33" s="76">
        <v>141</v>
      </c>
      <c r="V33" s="33">
        <f t="shared" si="18"/>
        <v>-109</v>
      </c>
      <c r="W33" s="74">
        <f t="shared" si="11"/>
        <v>-0.773049645390071</v>
      </c>
      <c r="X33" s="97">
        <f t="shared" si="21"/>
        <v>0.0266666666666667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XCR33" s="13"/>
      <c r="XCS33" s="13"/>
      <c r="XCT33" s="13"/>
      <c r="XCU33" s="13"/>
      <c r="XCV33" s="13"/>
      <c r="XCW33" s="13"/>
      <c r="XCX33" s="13"/>
      <c r="XCY33" s="13"/>
      <c r="XCZ33" s="13"/>
      <c r="XDA33" s="13"/>
      <c r="XDB33" s="13"/>
      <c r="XDC33" s="13"/>
      <c r="XDD33" s="13"/>
      <c r="XDE33" s="13"/>
      <c r="XDF33" s="13"/>
      <c r="XDG33" s="13"/>
      <c r="XDH33" s="13"/>
      <c r="XDI33" s="13"/>
      <c r="XDJ33" s="13"/>
      <c r="XDK33" s="13"/>
      <c r="XDL33" s="13"/>
      <c r="XDM33" s="13"/>
      <c r="XDN33" s="13"/>
      <c r="XDO33" s="13"/>
      <c r="XDP33" s="13"/>
      <c r="XDQ33" s="13"/>
      <c r="XDR33" s="13"/>
      <c r="XDS33" s="13"/>
      <c r="XDT33" s="13"/>
      <c r="XDU33" s="13"/>
      <c r="XDV33" s="13"/>
      <c r="XDW33" s="13"/>
      <c r="XDX33" s="13"/>
      <c r="XDY33" s="13"/>
      <c r="XDZ33" s="13"/>
    </row>
    <row r="34" s="1" customFormat="1" ht="17.1" customHeight="1" spans="1:16354">
      <c r="A34" s="30"/>
      <c r="B34" s="32">
        <v>11</v>
      </c>
      <c r="C34" s="41" t="s">
        <v>56</v>
      </c>
      <c r="D34" s="47" t="s">
        <v>167</v>
      </c>
      <c r="E34" s="43" t="s">
        <v>159</v>
      </c>
      <c r="F34" s="43" t="s">
        <v>154</v>
      </c>
      <c r="G34" s="43">
        <v>30000</v>
      </c>
      <c r="H34" s="33">
        <v>10000</v>
      </c>
      <c r="I34" s="78">
        <v>0</v>
      </c>
      <c r="J34" s="76">
        <v>7140</v>
      </c>
      <c r="K34" s="61">
        <v>9185</v>
      </c>
      <c r="L34" s="61">
        <f t="shared" si="19"/>
        <v>-2045</v>
      </c>
      <c r="M34" s="74">
        <f t="shared" si="17"/>
        <v>-0.222645617855199</v>
      </c>
      <c r="N34" s="76">
        <f t="shared" si="22"/>
        <v>2860</v>
      </c>
      <c r="O34" s="74">
        <f t="shared" si="23"/>
        <v>0.238</v>
      </c>
      <c r="P34" s="61">
        <f t="shared" si="24"/>
        <v>-2860</v>
      </c>
      <c r="Q34" s="33">
        <v>2500</v>
      </c>
      <c r="R34" s="33">
        <v>100</v>
      </c>
      <c r="S34" s="82">
        <v>0</v>
      </c>
      <c r="T34" s="99">
        <v>-322</v>
      </c>
      <c r="U34" s="46">
        <v>295</v>
      </c>
      <c r="V34" s="33">
        <f t="shared" si="18"/>
        <v>-617</v>
      </c>
      <c r="W34" s="74">
        <f t="shared" si="11"/>
        <v>-2.09152542372881</v>
      </c>
      <c r="X34" s="97">
        <f t="shared" si="21"/>
        <v>-0.1288</v>
      </c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101"/>
      <c r="CV34" s="101"/>
      <c r="CW34" s="101"/>
      <c r="CX34" s="101"/>
      <c r="CY34" s="101"/>
      <c r="CZ34" s="101"/>
      <c r="DA34" s="101"/>
      <c r="DB34" s="101"/>
      <c r="DC34" s="101"/>
      <c r="DD34" s="101"/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1"/>
      <c r="DS34" s="101"/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1"/>
      <c r="EH34" s="101"/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1"/>
      <c r="EW34" s="101"/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1"/>
      <c r="FL34" s="101"/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101"/>
      <c r="GB34" s="101"/>
      <c r="GC34" s="101"/>
      <c r="GD34" s="101"/>
      <c r="GE34" s="101"/>
      <c r="GF34" s="101"/>
      <c r="GG34" s="101"/>
      <c r="GH34" s="101"/>
      <c r="GI34" s="101"/>
      <c r="GJ34" s="101"/>
      <c r="GK34" s="101"/>
      <c r="GL34" s="101"/>
      <c r="GM34" s="101"/>
      <c r="GN34" s="101"/>
      <c r="GO34" s="101"/>
      <c r="GP34" s="101"/>
      <c r="GQ34" s="101"/>
      <c r="GR34" s="101"/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1"/>
      <c r="HG34" s="101"/>
      <c r="XCR34" s="101"/>
      <c r="XCS34" s="101"/>
      <c r="XCT34" s="101"/>
      <c r="XCU34" s="101"/>
      <c r="XCV34" s="101"/>
      <c r="XCW34" s="101"/>
      <c r="XCX34" s="101"/>
      <c r="XCY34" s="101"/>
      <c r="XCZ34" s="13"/>
      <c r="XDA34" s="13"/>
      <c r="XDB34" s="13"/>
      <c r="XDC34" s="13"/>
      <c r="XDD34" s="13"/>
      <c r="XDE34" s="13"/>
      <c r="XDF34" s="13"/>
      <c r="XDG34" s="13"/>
      <c r="XDH34" s="13"/>
      <c r="XDI34" s="13"/>
      <c r="XDJ34" s="13"/>
      <c r="XDK34" s="13"/>
      <c r="XDL34" s="13"/>
      <c r="XDM34" s="13"/>
      <c r="XDN34" s="13"/>
      <c r="XDO34" s="13"/>
      <c r="XDP34" s="13"/>
      <c r="XDQ34" s="13"/>
      <c r="XDR34" s="13"/>
      <c r="XDS34" s="13"/>
      <c r="XDT34" s="13"/>
      <c r="XDU34" s="13"/>
      <c r="XDV34" s="13"/>
      <c r="XDW34" s="13"/>
      <c r="XDX34" s="13"/>
      <c r="XDY34" s="13"/>
      <c r="XDZ34" s="13"/>
    </row>
    <row r="35" s="3" customFormat="1" ht="18.4" customHeight="1" spans="1:16354">
      <c r="A35" s="30" t="s">
        <v>6</v>
      </c>
      <c r="B35" s="58"/>
      <c r="C35" s="36" t="s">
        <v>156</v>
      </c>
      <c r="D35" s="37"/>
      <c r="E35" s="38"/>
      <c r="F35" s="38"/>
      <c r="G35" s="53">
        <f t="shared" ref="G35:K35" si="25">G36+G39</f>
        <v>780000</v>
      </c>
      <c r="H35" s="37">
        <f t="shared" si="25"/>
        <v>388700</v>
      </c>
      <c r="I35" s="37" t="s">
        <v>25</v>
      </c>
      <c r="J35" s="37">
        <f t="shared" si="25"/>
        <v>364079</v>
      </c>
      <c r="K35" s="37">
        <f t="shared" si="25"/>
        <v>319561</v>
      </c>
      <c r="L35" s="37"/>
      <c r="M35" s="75">
        <f t="shared" si="17"/>
        <v>0.139309865722038</v>
      </c>
      <c r="N35" s="66">
        <f t="shared" si="22"/>
        <v>24621</v>
      </c>
      <c r="O35" s="67">
        <f t="shared" si="23"/>
        <v>0.466767948717949</v>
      </c>
      <c r="P35" s="39">
        <f>P36+P39</f>
        <v>-3616</v>
      </c>
      <c r="Q35" s="37">
        <f>Q36+Q39</f>
        <v>12700</v>
      </c>
      <c r="R35" s="37">
        <f>R36+R39</f>
        <v>3450</v>
      </c>
      <c r="S35" s="37" t="s">
        <v>25</v>
      </c>
      <c r="T35" s="37">
        <f>T36+T39</f>
        <v>3254</v>
      </c>
      <c r="U35" s="37">
        <f>U36+U39</f>
        <v>2131</v>
      </c>
      <c r="V35" s="91">
        <f t="shared" ref="V35:V41" si="26">T35-U35</f>
        <v>1123</v>
      </c>
      <c r="W35" s="75">
        <f t="shared" si="11"/>
        <v>0.526982637259503</v>
      </c>
      <c r="X35" s="92">
        <f t="shared" si="21"/>
        <v>0.256220472440945</v>
      </c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  <c r="HF35" s="105"/>
      <c r="HG35" s="105"/>
      <c r="XCR35" s="105"/>
      <c r="XCS35" s="105"/>
      <c r="XCT35" s="105"/>
      <c r="XCU35" s="105"/>
      <c r="XCV35" s="105"/>
      <c r="XCW35" s="105"/>
      <c r="XCX35" s="105"/>
      <c r="XCY35" s="105"/>
      <c r="XCZ35" s="107"/>
      <c r="XDA35" s="107"/>
      <c r="XDB35" s="107"/>
      <c r="XDC35" s="107"/>
      <c r="XDD35" s="107"/>
      <c r="XDE35" s="107"/>
      <c r="XDF35" s="107"/>
      <c r="XDG35" s="107"/>
      <c r="XDH35" s="107"/>
      <c r="XDI35" s="107"/>
      <c r="XDJ35" s="107"/>
      <c r="XDK35" s="107"/>
      <c r="XDL35" s="107"/>
      <c r="XDM35" s="107"/>
      <c r="XDN35" s="107"/>
      <c r="XDO35" s="107"/>
      <c r="XDP35" s="107"/>
      <c r="XDQ35" s="107"/>
      <c r="XDR35" s="107"/>
      <c r="XDS35" s="107"/>
      <c r="XDT35" s="107"/>
      <c r="XDU35" s="107"/>
      <c r="XDV35" s="107"/>
      <c r="XDW35" s="107"/>
      <c r="XDX35" s="107"/>
      <c r="XDY35" s="107"/>
      <c r="XDZ35" s="107"/>
    </row>
    <row r="36" s="6" customFormat="1" ht="17.1" customHeight="1" spans="1:16356">
      <c r="A36" s="49"/>
      <c r="B36" s="50">
        <v>12</v>
      </c>
      <c r="C36" s="41" t="s">
        <v>57</v>
      </c>
      <c r="D36" s="59" t="s">
        <v>179</v>
      </c>
      <c r="E36" s="51" t="s">
        <v>180</v>
      </c>
      <c r="F36" s="51" t="s">
        <v>154</v>
      </c>
      <c r="G36" s="43">
        <v>670000</v>
      </c>
      <c r="H36" s="52">
        <v>340000</v>
      </c>
      <c r="I36" s="51">
        <v>340000</v>
      </c>
      <c r="J36" s="76">
        <v>318995</v>
      </c>
      <c r="K36" s="61">
        <v>280462</v>
      </c>
      <c r="L36" s="61">
        <f t="shared" ref="L36:L45" si="27">J36-K36</f>
        <v>38533</v>
      </c>
      <c r="M36" s="74">
        <f t="shared" si="17"/>
        <v>0.137391161726009</v>
      </c>
      <c r="N36" s="76">
        <f t="shared" si="22"/>
        <v>21005</v>
      </c>
      <c r="O36" s="74">
        <f t="shared" si="23"/>
        <v>0.476111940298507</v>
      </c>
      <c r="P36" s="61"/>
      <c r="Q36" s="52">
        <v>6000</v>
      </c>
      <c r="R36" s="52">
        <v>1600</v>
      </c>
      <c r="S36" s="98">
        <v>0</v>
      </c>
      <c r="T36" s="76">
        <v>1800</v>
      </c>
      <c r="U36" s="76">
        <v>1708</v>
      </c>
      <c r="V36" s="33">
        <f t="shared" si="26"/>
        <v>92</v>
      </c>
      <c r="W36" s="74">
        <f t="shared" si="11"/>
        <v>0.053864168618267</v>
      </c>
      <c r="X36" s="97">
        <f t="shared" ref="X36:X46" si="28">T36/Q36</f>
        <v>0.3</v>
      </c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106"/>
      <c r="DF36" s="106"/>
      <c r="DG36" s="106"/>
      <c r="DH36" s="106"/>
      <c r="DI36" s="106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6"/>
      <c r="EW36" s="106"/>
      <c r="EX36" s="106"/>
      <c r="EY36" s="106"/>
      <c r="EZ36" s="106"/>
      <c r="FA36" s="106"/>
      <c r="FB36" s="106"/>
      <c r="FC36" s="106"/>
      <c r="FD36" s="106"/>
      <c r="FE36" s="106"/>
      <c r="FF36" s="106"/>
      <c r="FG36" s="106"/>
      <c r="FH36" s="106"/>
      <c r="FI36" s="106"/>
      <c r="FJ36" s="106"/>
      <c r="FK36" s="106"/>
      <c r="FL36" s="106"/>
      <c r="FM36" s="106"/>
      <c r="FN36" s="106"/>
      <c r="FO36" s="106"/>
      <c r="FP36" s="106"/>
      <c r="FQ36" s="106"/>
      <c r="FR36" s="106"/>
      <c r="FS36" s="106"/>
      <c r="FT36" s="106"/>
      <c r="FU36" s="106"/>
      <c r="FV36" s="106"/>
      <c r="FW36" s="106"/>
      <c r="FX36" s="106"/>
      <c r="FY36" s="106"/>
      <c r="FZ36" s="106"/>
      <c r="GA36" s="106"/>
      <c r="GB36" s="106"/>
      <c r="GC36" s="106"/>
      <c r="GD36" s="106"/>
      <c r="GE36" s="106"/>
      <c r="GF36" s="106"/>
      <c r="GG36" s="106"/>
      <c r="GH36" s="106"/>
      <c r="GI36" s="106"/>
      <c r="GJ36" s="106"/>
      <c r="GK36" s="106"/>
      <c r="GL36" s="106"/>
      <c r="GM36" s="106"/>
      <c r="GN36" s="106"/>
      <c r="GO36" s="106"/>
      <c r="GP36" s="106"/>
      <c r="GQ36" s="106"/>
      <c r="GR36" s="106"/>
      <c r="GS36" s="106"/>
      <c r="GT36" s="106"/>
      <c r="GU36" s="106"/>
      <c r="GV36" s="106"/>
      <c r="GW36" s="106"/>
      <c r="GX36" s="106"/>
      <c r="GY36" s="106"/>
      <c r="GZ36" s="106"/>
      <c r="HA36" s="106"/>
      <c r="HB36" s="106"/>
      <c r="HC36" s="106"/>
      <c r="HD36" s="106"/>
      <c r="HE36" s="106"/>
      <c r="HF36" s="106"/>
      <c r="HG36" s="106"/>
      <c r="XCR36" s="108"/>
      <c r="XCS36" s="108"/>
      <c r="XCT36" s="108"/>
      <c r="XCU36" s="108"/>
      <c r="XCV36" s="108"/>
      <c r="XCW36" s="108"/>
      <c r="XCX36" s="108"/>
      <c r="XCY36" s="108"/>
      <c r="XCZ36" s="108"/>
      <c r="XDA36" s="108"/>
      <c r="XDB36" s="108"/>
      <c r="XDC36" s="108"/>
      <c r="XDD36" s="108"/>
      <c r="XDE36" s="108"/>
      <c r="XDF36" s="108"/>
      <c r="XDG36" s="108"/>
      <c r="XDH36" s="108"/>
      <c r="XDI36" s="108"/>
      <c r="XDJ36" s="108"/>
      <c r="XDK36" s="108"/>
      <c r="XDL36" s="108"/>
      <c r="XDM36" s="108"/>
      <c r="XDN36" s="108"/>
      <c r="XDO36" s="108"/>
      <c r="XDP36" s="108"/>
      <c r="XDQ36" s="108"/>
      <c r="XDR36" s="108"/>
      <c r="XDS36" s="108"/>
      <c r="XDT36" s="108"/>
      <c r="XDU36" s="108"/>
      <c r="XDV36" s="108"/>
      <c r="XDW36" s="108"/>
      <c r="XDX36" s="108"/>
      <c r="XDY36" s="108"/>
      <c r="XDZ36" s="108"/>
      <c r="XEB36" s="108"/>
    </row>
    <row r="37" s="6" customFormat="1" ht="17.1" customHeight="1" spans="1:16356">
      <c r="A37" s="49"/>
      <c r="B37" s="60"/>
      <c r="C37" s="45" t="s">
        <v>161</v>
      </c>
      <c r="D37" s="47"/>
      <c r="E37" s="51"/>
      <c r="F37" s="51"/>
      <c r="G37" s="43">
        <v>450000</v>
      </c>
      <c r="H37" s="61">
        <f t="shared" ref="H37:K37" si="29">H36-H38</f>
        <v>195000</v>
      </c>
      <c r="I37" s="61">
        <v>195000</v>
      </c>
      <c r="J37" s="61">
        <f t="shared" si="29"/>
        <v>193995</v>
      </c>
      <c r="K37" s="61">
        <f t="shared" si="29"/>
        <v>155462</v>
      </c>
      <c r="L37" s="61">
        <f t="shared" si="27"/>
        <v>38533</v>
      </c>
      <c r="M37" s="74">
        <f t="shared" si="17"/>
        <v>0.247861213672795</v>
      </c>
      <c r="N37" s="76">
        <f t="shared" si="22"/>
        <v>1005</v>
      </c>
      <c r="O37" s="74" t="s">
        <v>25</v>
      </c>
      <c r="P37" s="61"/>
      <c r="Q37" s="98">
        <v>0</v>
      </c>
      <c r="R37" s="98">
        <v>0</v>
      </c>
      <c r="S37" s="98">
        <v>0</v>
      </c>
      <c r="T37" s="98">
        <v>0</v>
      </c>
      <c r="U37" s="98">
        <v>0</v>
      </c>
      <c r="V37" s="98"/>
      <c r="W37" s="98">
        <v>0</v>
      </c>
      <c r="X37" s="97" t="s">
        <v>25</v>
      </c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106"/>
      <c r="CW37" s="106"/>
      <c r="CX37" s="106"/>
      <c r="CY37" s="106"/>
      <c r="CZ37" s="106"/>
      <c r="DA37" s="106"/>
      <c r="DB37" s="106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6"/>
      <c r="FH37" s="106"/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6"/>
      <c r="FU37" s="106"/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6"/>
      <c r="GH37" s="106"/>
      <c r="GI37" s="106"/>
      <c r="GJ37" s="106"/>
      <c r="GK37" s="106"/>
      <c r="GL37" s="106"/>
      <c r="GM37" s="106"/>
      <c r="GN37" s="106"/>
      <c r="GO37" s="106"/>
      <c r="GP37" s="106"/>
      <c r="GQ37" s="106"/>
      <c r="GR37" s="106"/>
      <c r="GS37" s="106"/>
      <c r="GT37" s="106"/>
      <c r="GU37" s="106"/>
      <c r="GV37" s="106"/>
      <c r="GW37" s="106"/>
      <c r="GX37" s="106"/>
      <c r="GY37" s="106"/>
      <c r="GZ37" s="106"/>
      <c r="HA37" s="106"/>
      <c r="HB37" s="106"/>
      <c r="HC37" s="106"/>
      <c r="HD37" s="106"/>
      <c r="HE37" s="106"/>
      <c r="HF37" s="106"/>
      <c r="HG37" s="106"/>
      <c r="XCR37" s="108"/>
      <c r="XCS37" s="108"/>
      <c r="XCT37" s="108"/>
      <c r="XCU37" s="108"/>
      <c r="XCV37" s="108"/>
      <c r="XCW37" s="108"/>
      <c r="XCX37" s="108"/>
      <c r="XCY37" s="108"/>
      <c r="XCZ37" s="108"/>
      <c r="XDA37" s="108"/>
      <c r="XDB37" s="108"/>
      <c r="XDC37" s="108"/>
      <c r="XDD37" s="108"/>
      <c r="XDE37" s="108"/>
      <c r="XDF37" s="108"/>
      <c r="XDG37" s="108"/>
      <c r="XDH37" s="108"/>
      <c r="XDI37" s="108"/>
      <c r="XDJ37" s="108"/>
      <c r="XDK37" s="108"/>
      <c r="XDL37" s="108"/>
      <c r="XDM37" s="108"/>
      <c r="XDN37" s="108"/>
      <c r="XDO37" s="108"/>
      <c r="XDP37" s="108"/>
      <c r="XDQ37" s="108"/>
      <c r="XDR37" s="108"/>
      <c r="XDS37" s="108"/>
      <c r="XDT37" s="108"/>
      <c r="XDU37" s="108"/>
      <c r="XDV37" s="108"/>
      <c r="XDW37" s="108"/>
      <c r="XDX37" s="108"/>
      <c r="XDY37" s="108"/>
      <c r="XDZ37" s="108"/>
      <c r="XEB37" s="108"/>
    </row>
    <row r="38" s="6" customFormat="1" ht="17.1" customHeight="1" spans="1:16356">
      <c r="A38" s="49"/>
      <c r="B38" s="60"/>
      <c r="C38" s="45" t="s">
        <v>181</v>
      </c>
      <c r="D38" s="43" t="s">
        <v>163</v>
      </c>
      <c r="E38" s="51"/>
      <c r="F38" s="51"/>
      <c r="G38" s="43">
        <v>220000</v>
      </c>
      <c r="H38" s="61">
        <v>145000</v>
      </c>
      <c r="I38" s="51">
        <v>145000</v>
      </c>
      <c r="J38" s="76">
        <v>125000</v>
      </c>
      <c r="K38" s="61">
        <v>125000</v>
      </c>
      <c r="L38" s="61">
        <f t="shared" si="27"/>
        <v>0</v>
      </c>
      <c r="M38" s="74">
        <f t="shared" si="17"/>
        <v>0</v>
      </c>
      <c r="N38" s="76">
        <f t="shared" si="22"/>
        <v>20000</v>
      </c>
      <c r="O38" s="74" t="s">
        <v>25</v>
      </c>
      <c r="P38" s="61"/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/>
      <c r="W38" s="98">
        <v>0</v>
      </c>
      <c r="X38" s="97" t="s">
        <v>25</v>
      </c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  <c r="CZ38" s="106"/>
      <c r="DA38" s="106"/>
      <c r="DB38" s="106"/>
      <c r="DC38" s="106"/>
      <c r="DD38" s="106"/>
      <c r="DE38" s="106"/>
      <c r="DF38" s="106"/>
      <c r="DG38" s="106"/>
      <c r="DH38" s="106"/>
      <c r="DI38" s="106"/>
      <c r="DJ38" s="106"/>
      <c r="DK38" s="106"/>
      <c r="DL38" s="106"/>
      <c r="DM38" s="106"/>
      <c r="DN38" s="106"/>
      <c r="DO38" s="106"/>
      <c r="DP38" s="106"/>
      <c r="DQ38" s="106"/>
      <c r="DR38" s="106"/>
      <c r="DS38" s="106"/>
      <c r="DT38" s="106"/>
      <c r="DU38" s="106"/>
      <c r="DV38" s="106"/>
      <c r="DW38" s="106"/>
      <c r="DX38" s="106"/>
      <c r="DY38" s="106"/>
      <c r="DZ38" s="106"/>
      <c r="EA38" s="106"/>
      <c r="EB38" s="106"/>
      <c r="EC38" s="106"/>
      <c r="ED38" s="106"/>
      <c r="EE38" s="106"/>
      <c r="EF38" s="106"/>
      <c r="EG38" s="106"/>
      <c r="EH38" s="106"/>
      <c r="EI38" s="106"/>
      <c r="EJ38" s="106"/>
      <c r="EK38" s="106"/>
      <c r="EL38" s="106"/>
      <c r="EM38" s="106"/>
      <c r="EN38" s="106"/>
      <c r="EO38" s="106"/>
      <c r="EP38" s="106"/>
      <c r="EQ38" s="106"/>
      <c r="ER38" s="106"/>
      <c r="ES38" s="106"/>
      <c r="ET38" s="106"/>
      <c r="EU38" s="106"/>
      <c r="EV38" s="106"/>
      <c r="EW38" s="106"/>
      <c r="EX38" s="106"/>
      <c r="EY38" s="106"/>
      <c r="EZ38" s="106"/>
      <c r="FA38" s="106"/>
      <c r="FB38" s="106"/>
      <c r="FC38" s="106"/>
      <c r="FD38" s="106"/>
      <c r="FE38" s="106"/>
      <c r="FF38" s="106"/>
      <c r="FG38" s="106"/>
      <c r="FH38" s="106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  <c r="GK38" s="106"/>
      <c r="GL38" s="106"/>
      <c r="GM38" s="106"/>
      <c r="GN38" s="106"/>
      <c r="GO38" s="106"/>
      <c r="GP38" s="106"/>
      <c r="GQ38" s="106"/>
      <c r="GR38" s="106"/>
      <c r="GS38" s="106"/>
      <c r="GT38" s="106"/>
      <c r="GU38" s="106"/>
      <c r="GV38" s="106"/>
      <c r="GW38" s="106"/>
      <c r="GX38" s="106"/>
      <c r="GY38" s="106"/>
      <c r="GZ38" s="106"/>
      <c r="HA38" s="106"/>
      <c r="HB38" s="106"/>
      <c r="HC38" s="106"/>
      <c r="HD38" s="106"/>
      <c r="HE38" s="106"/>
      <c r="HF38" s="106"/>
      <c r="HG38" s="106"/>
      <c r="XCR38" s="108"/>
      <c r="XCS38" s="108"/>
      <c r="XCT38" s="108"/>
      <c r="XCU38" s="108"/>
      <c r="XCV38" s="108"/>
      <c r="XCW38" s="108"/>
      <c r="XCX38" s="108"/>
      <c r="XCY38" s="108"/>
      <c r="XCZ38" s="108"/>
      <c r="XDA38" s="108"/>
      <c r="XDB38" s="108"/>
      <c r="XDC38" s="108"/>
      <c r="XDD38" s="108"/>
      <c r="XDE38" s="108"/>
      <c r="XDF38" s="108"/>
      <c r="XDG38" s="108"/>
      <c r="XDH38" s="108"/>
      <c r="XDI38" s="108"/>
      <c r="XDJ38" s="108"/>
      <c r="XDK38" s="108"/>
      <c r="XDL38" s="108"/>
      <c r="XDM38" s="108"/>
      <c r="XDN38" s="108"/>
      <c r="XDO38" s="108"/>
      <c r="XDP38" s="108"/>
      <c r="XDQ38" s="108"/>
      <c r="XDR38" s="108"/>
      <c r="XDS38" s="108"/>
      <c r="XDT38" s="108"/>
      <c r="XDU38" s="108"/>
      <c r="XDV38" s="108"/>
      <c r="XDW38" s="108"/>
      <c r="XDX38" s="108"/>
      <c r="XDY38" s="108"/>
      <c r="XDZ38" s="108"/>
      <c r="XEB38" s="108"/>
    </row>
    <row r="39" s="1" customFormat="1" ht="18" customHeight="1" spans="1:16354">
      <c r="A39" s="30"/>
      <c r="B39" s="32">
        <v>13</v>
      </c>
      <c r="C39" s="48" t="s">
        <v>182</v>
      </c>
      <c r="D39" s="59" t="s">
        <v>179</v>
      </c>
      <c r="E39" s="43" t="s">
        <v>183</v>
      </c>
      <c r="F39" s="43" t="s">
        <v>154</v>
      </c>
      <c r="G39" s="43">
        <v>110000</v>
      </c>
      <c r="H39" s="33">
        <v>48700</v>
      </c>
      <c r="I39" s="78">
        <v>0</v>
      </c>
      <c r="J39" s="61">
        <f>J40+J41+J44+J45</f>
        <v>45084</v>
      </c>
      <c r="K39" s="61">
        <f>K40+K41+K44+K45</f>
        <v>39099</v>
      </c>
      <c r="L39" s="61">
        <f t="shared" si="27"/>
        <v>5985</v>
      </c>
      <c r="M39" s="74">
        <f t="shared" si="17"/>
        <v>0.153072968618123</v>
      </c>
      <c r="N39" s="76">
        <f t="shared" si="22"/>
        <v>3616</v>
      </c>
      <c r="O39" s="74">
        <f t="shared" ref="O39:O42" si="30">J39/G39</f>
        <v>0.409854545454545</v>
      </c>
      <c r="P39" s="61">
        <f>J39-H39</f>
        <v>-3616</v>
      </c>
      <c r="Q39" s="33">
        <v>6700</v>
      </c>
      <c r="R39" s="61">
        <v>1850</v>
      </c>
      <c r="S39" s="33">
        <v>1850</v>
      </c>
      <c r="T39" s="61">
        <f>T40+T41+T44+T45</f>
        <v>1454</v>
      </c>
      <c r="U39" s="61">
        <f>U40+U41+U44+U45</f>
        <v>423</v>
      </c>
      <c r="V39" s="33">
        <f t="shared" si="26"/>
        <v>1031</v>
      </c>
      <c r="W39" s="74">
        <f t="shared" ref="W39:W41" si="31">(T39-U39)/ABS(U39)</f>
        <v>2.43735224586288</v>
      </c>
      <c r="X39" s="97">
        <f t="shared" si="28"/>
        <v>0.217014925373134</v>
      </c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XCR39" s="13"/>
      <c r="XCS39" s="13"/>
      <c r="XCT39" s="13"/>
      <c r="XCU39" s="13"/>
      <c r="XCV39" s="13"/>
      <c r="XCW39" s="13"/>
      <c r="XCX39" s="13"/>
      <c r="XCY39" s="13"/>
      <c r="XCZ39" s="13"/>
      <c r="XDA39" s="13"/>
      <c r="XDB39" s="13"/>
      <c r="XDC39" s="13"/>
      <c r="XDD39" s="13"/>
      <c r="XDE39" s="13"/>
      <c r="XDF39" s="13"/>
      <c r="XDG39" s="13"/>
      <c r="XDH39" s="13"/>
      <c r="XDI39" s="13"/>
      <c r="XDJ39" s="13"/>
      <c r="XDK39" s="13"/>
      <c r="XDL39" s="13"/>
      <c r="XDM39" s="13"/>
      <c r="XDN39" s="13"/>
      <c r="XDO39" s="13"/>
      <c r="XDP39" s="13"/>
      <c r="XDQ39" s="13"/>
      <c r="XDR39" s="13"/>
      <c r="XDS39" s="13"/>
      <c r="XDT39" s="13"/>
      <c r="XDU39" s="13"/>
      <c r="XDV39" s="13"/>
      <c r="XDW39" s="13"/>
      <c r="XDX39" s="13"/>
      <c r="XDY39" s="13"/>
      <c r="XDZ39" s="13"/>
    </row>
    <row r="40" s="1" customFormat="1" ht="21.95" customHeight="1" outlineLevel="1" spans="1:16354">
      <c r="A40" s="30"/>
      <c r="B40" s="44" t="s">
        <v>169</v>
      </c>
      <c r="C40" s="45" t="s">
        <v>184</v>
      </c>
      <c r="D40" s="33"/>
      <c r="E40" s="43"/>
      <c r="F40" s="43"/>
      <c r="G40" s="43">
        <v>10000</v>
      </c>
      <c r="H40" s="33">
        <v>4200</v>
      </c>
      <c r="I40" s="78">
        <v>0</v>
      </c>
      <c r="J40" s="76">
        <v>4506</v>
      </c>
      <c r="K40" s="61">
        <v>1670</v>
      </c>
      <c r="L40" s="61">
        <f t="shared" si="27"/>
        <v>2836</v>
      </c>
      <c r="M40" s="74">
        <f t="shared" si="17"/>
        <v>1.69820359281437</v>
      </c>
      <c r="N40" s="76"/>
      <c r="O40" s="74">
        <f t="shared" si="30"/>
        <v>0.4506</v>
      </c>
      <c r="P40" s="61"/>
      <c r="Q40" s="33">
        <v>1200</v>
      </c>
      <c r="R40" s="33">
        <v>400</v>
      </c>
      <c r="S40" s="33"/>
      <c r="T40" s="76">
        <v>462</v>
      </c>
      <c r="U40" s="46">
        <v>5</v>
      </c>
      <c r="V40" s="33">
        <f t="shared" si="26"/>
        <v>457</v>
      </c>
      <c r="W40" s="74">
        <f t="shared" si="31"/>
        <v>91.4</v>
      </c>
      <c r="X40" s="97">
        <f t="shared" si="28"/>
        <v>0.385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XCR40" s="13"/>
      <c r="XCS40" s="13"/>
      <c r="XCT40" s="13"/>
      <c r="XCU40" s="13"/>
      <c r="XCV40" s="13"/>
      <c r="XCW40" s="13"/>
      <c r="XCX40" s="13"/>
      <c r="XCY40" s="13"/>
      <c r="XCZ40" s="13"/>
      <c r="XDA40" s="13"/>
      <c r="XDB40" s="13"/>
      <c r="XDC40" s="13"/>
      <c r="XDD40" s="13"/>
      <c r="XDE40" s="13"/>
      <c r="XDF40" s="13"/>
      <c r="XDG40" s="13"/>
      <c r="XDH40" s="13"/>
      <c r="XDI40" s="13"/>
      <c r="XDJ40" s="13"/>
      <c r="XDK40" s="13"/>
      <c r="XDL40" s="13"/>
      <c r="XDM40" s="13"/>
      <c r="XDN40" s="13"/>
      <c r="XDO40" s="13"/>
      <c r="XDP40" s="13"/>
      <c r="XDQ40" s="13"/>
      <c r="XDR40" s="13"/>
      <c r="XDS40" s="13"/>
      <c r="XDT40" s="13"/>
      <c r="XDU40" s="13"/>
      <c r="XDV40" s="13"/>
      <c r="XDW40" s="13"/>
      <c r="XDX40" s="13"/>
      <c r="XDY40" s="13"/>
      <c r="XDZ40" s="13"/>
    </row>
    <row r="41" s="1" customFormat="1" ht="18" customHeight="1" outlineLevel="1" spans="1:16354">
      <c r="A41" s="30"/>
      <c r="B41" s="44" t="s">
        <v>171</v>
      </c>
      <c r="C41" s="48" t="s">
        <v>185</v>
      </c>
      <c r="D41" s="33"/>
      <c r="E41" s="43"/>
      <c r="F41" s="43"/>
      <c r="G41" s="43">
        <v>28600</v>
      </c>
      <c r="H41" s="33">
        <v>15000</v>
      </c>
      <c r="I41" s="78">
        <v>0</v>
      </c>
      <c r="J41" s="76">
        <v>15863</v>
      </c>
      <c r="K41" s="61">
        <f>16517</f>
        <v>16517</v>
      </c>
      <c r="L41" s="61">
        <f t="shared" si="27"/>
        <v>-654</v>
      </c>
      <c r="M41" s="74">
        <f t="shared" si="17"/>
        <v>-0.039595568202458</v>
      </c>
      <c r="N41" s="76"/>
      <c r="O41" s="74">
        <f t="shared" si="30"/>
        <v>0.55465034965035</v>
      </c>
      <c r="P41" s="61"/>
      <c r="Q41" s="33">
        <v>100</v>
      </c>
      <c r="R41" s="33">
        <v>50</v>
      </c>
      <c r="S41" s="33"/>
      <c r="T41" s="76">
        <f>-393+443</f>
        <v>50</v>
      </c>
      <c r="U41" s="76">
        <v>-445</v>
      </c>
      <c r="V41" s="33">
        <f t="shared" si="26"/>
        <v>495</v>
      </c>
      <c r="W41" s="74">
        <f t="shared" si="31"/>
        <v>1.1123595505618</v>
      </c>
      <c r="X41" s="97">
        <f t="shared" si="28"/>
        <v>0.5</v>
      </c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XCR41" s="13"/>
      <c r="XCS41" s="13"/>
      <c r="XCT41" s="13"/>
      <c r="XCU41" s="13"/>
      <c r="XCV41" s="13"/>
      <c r="XCW41" s="13"/>
      <c r="XCX41" s="13"/>
      <c r="XCY41" s="13"/>
      <c r="XCZ41" s="13"/>
      <c r="XDA41" s="13"/>
      <c r="XDB41" s="13"/>
      <c r="XDC41" s="13"/>
      <c r="XDD41" s="13"/>
      <c r="XDE41" s="13"/>
      <c r="XDF41" s="13"/>
      <c r="XDG41" s="13"/>
      <c r="XDH41" s="13"/>
      <c r="XDI41" s="13"/>
      <c r="XDJ41" s="13"/>
      <c r="XDK41" s="13"/>
      <c r="XDL41" s="13"/>
      <c r="XDM41" s="13"/>
      <c r="XDN41" s="13"/>
      <c r="XDO41" s="13"/>
      <c r="XDP41" s="13"/>
      <c r="XDQ41" s="13"/>
      <c r="XDR41" s="13"/>
      <c r="XDS41" s="13"/>
      <c r="XDT41" s="13"/>
      <c r="XDU41" s="13"/>
      <c r="XDV41" s="13"/>
      <c r="XDW41" s="13"/>
      <c r="XDX41" s="13"/>
      <c r="XDY41" s="13"/>
      <c r="XDZ41" s="13"/>
    </row>
    <row r="42" s="1" customFormat="1" ht="18" customHeight="1" outlineLevel="1" spans="1:16354">
      <c r="A42" s="30"/>
      <c r="B42" s="44"/>
      <c r="C42" s="48" t="s">
        <v>161</v>
      </c>
      <c r="D42" s="33"/>
      <c r="E42" s="43"/>
      <c r="F42" s="43"/>
      <c r="G42" s="43">
        <f t="shared" ref="G42:K42" si="32">G41-G43</f>
        <v>28600</v>
      </c>
      <c r="H42" s="61">
        <f t="shared" si="32"/>
        <v>15000</v>
      </c>
      <c r="I42" s="78">
        <v>0</v>
      </c>
      <c r="J42" s="61">
        <f t="shared" si="32"/>
        <v>15477</v>
      </c>
      <c r="K42" s="61">
        <f t="shared" si="32"/>
        <v>10861</v>
      </c>
      <c r="L42" s="61">
        <f t="shared" si="27"/>
        <v>4616</v>
      </c>
      <c r="M42" s="74">
        <f t="shared" si="17"/>
        <v>0.425006905441488</v>
      </c>
      <c r="N42" s="76"/>
      <c r="O42" s="74">
        <f t="shared" si="30"/>
        <v>0.541153846153846</v>
      </c>
      <c r="P42" s="61"/>
      <c r="Q42" s="33"/>
      <c r="R42" s="33"/>
      <c r="S42" s="33"/>
      <c r="T42" s="82">
        <v>0</v>
      </c>
      <c r="U42" s="82">
        <v>0</v>
      </c>
      <c r="V42" s="82"/>
      <c r="W42" s="82">
        <v>0</v>
      </c>
      <c r="X42" s="97" t="s">
        <v>25</v>
      </c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XCR42" s="13"/>
      <c r="XCS42" s="13"/>
      <c r="XCT42" s="13"/>
      <c r="XCU42" s="13"/>
      <c r="XCV42" s="13"/>
      <c r="XCW42" s="13"/>
      <c r="XCX42" s="13"/>
      <c r="XCY42" s="13"/>
      <c r="XCZ42" s="13"/>
      <c r="XDA42" s="13"/>
      <c r="XDB42" s="13"/>
      <c r="XDC42" s="13"/>
      <c r="XDD42" s="13"/>
      <c r="XDE42" s="13"/>
      <c r="XDF42" s="13"/>
      <c r="XDG42" s="13"/>
      <c r="XDH42" s="13"/>
      <c r="XDI42" s="13"/>
      <c r="XDJ42" s="13"/>
      <c r="XDK42" s="13"/>
      <c r="XDL42" s="13"/>
      <c r="XDM42" s="13"/>
      <c r="XDN42" s="13"/>
      <c r="XDO42" s="13"/>
      <c r="XDP42" s="13"/>
      <c r="XDQ42" s="13"/>
      <c r="XDR42" s="13"/>
      <c r="XDS42" s="13"/>
      <c r="XDT42" s="13"/>
      <c r="XDU42" s="13"/>
      <c r="XDV42" s="13"/>
      <c r="XDW42" s="13"/>
      <c r="XDX42" s="13"/>
      <c r="XDY42" s="13"/>
      <c r="XDZ42" s="13"/>
    </row>
    <row r="43" s="1" customFormat="1" ht="18" customHeight="1" outlineLevel="1" spans="1:16354">
      <c r="A43" s="30"/>
      <c r="B43" s="44"/>
      <c r="C43" s="48" t="s">
        <v>162</v>
      </c>
      <c r="D43" s="43" t="s">
        <v>163</v>
      </c>
      <c r="E43" s="43"/>
      <c r="F43" s="43"/>
      <c r="G43" s="43">
        <v>0</v>
      </c>
      <c r="H43" s="33">
        <v>0</v>
      </c>
      <c r="I43" s="78">
        <v>0</v>
      </c>
      <c r="J43" s="76">
        <v>386</v>
      </c>
      <c r="K43" s="61">
        <v>5656</v>
      </c>
      <c r="L43" s="61">
        <f t="shared" si="27"/>
        <v>-5270</v>
      </c>
      <c r="M43" s="74">
        <f t="shared" si="17"/>
        <v>-0.931753889674682</v>
      </c>
      <c r="N43" s="76"/>
      <c r="O43" s="74" t="s">
        <v>25</v>
      </c>
      <c r="P43" s="61"/>
      <c r="Q43" s="33"/>
      <c r="R43" s="33"/>
      <c r="S43" s="33"/>
      <c r="T43" s="82">
        <v>0</v>
      </c>
      <c r="U43" s="82">
        <v>0</v>
      </c>
      <c r="V43" s="82"/>
      <c r="W43" s="82">
        <v>0</v>
      </c>
      <c r="X43" s="97" t="s">
        <v>25</v>
      </c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XCR43" s="13"/>
      <c r="XCS43" s="13"/>
      <c r="XCT43" s="13"/>
      <c r="XCU43" s="13"/>
      <c r="XCV43" s="13"/>
      <c r="XCW43" s="13"/>
      <c r="XCX43" s="13"/>
      <c r="XCY43" s="13"/>
      <c r="XCZ43" s="13"/>
      <c r="XDA43" s="13"/>
      <c r="XDB43" s="13"/>
      <c r="XDC43" s="13"/>
      <c r="XDD43" s="13"/>
      <c r="XDE43" s="13"/>
      <c r="XDF43" s="13"/>
      <c r="XDG43" s="13"/>
      <c r="XDH43" s="13"/>
      <c r="XDI43" s="13"/>
      <c r="XDJ43" s="13"/>
      <c r="XDK43" s="13"/>
      <c r="XDL43" s="13"/>
      <c r="XDM43" s="13"/>
      <c r="XDN43" s="13"/>
      <c r="XDO43" s="13"/>
      <c r="XDP43" s="13"/>
      <c r="XDQ43" s="13"/>
      <c r="XDR43" s="13"/>
      <c r="XDS43" s="13"/>
      <c r="XDT43" s="13"/>
      <c r="XDU43" s="13"/>
      <c r="XDV43" s="13"/>
      <c r="XDW43" s="13"/>
      <c r="XDX43" s="13"/>
      <c r="XDY43" s="13"/>
      <c r="XDZ43" s="13"/>
    </row>
    <row r="44" s="1" customFormat="1" ht="18.95" customHeight="1" outlineLevel="1" spans="1:16354">
      <c r="A44" s="30"/>
      <c r="B44" s="44" t="s">
        <v>186</v>
      </c>
      <c r="C44" s="45" t="s">
        <v>60</v>
      </c>
      <c r="D44" s="33"/>
      <c r="E44" s="43"/>
      <c r="F44" s="43"/>
      <c r="G44" s="43">
        <v>37000</v>
      </c>
      <c r="H44" s="33">
        <v>18500</v>
      </c>
      <c r="I44" s="78">
        <v>0</v>
      </c>
      <c r="J44" s="76">
        <v>15562</v>
      </c>
      <c r="K44" s="61">
        <v>14543</v>
      </c>
      <c r="L44" s="61">
        <f t="shared" si="27"/>
        <v>1019</v>
      </c>
      <c r="M44" s="74">
        <f t="shared" si="17"/>
        <v>0.0700680739874855</v>
      </c>
      <c r="N44" s="76">
        <f t="shared" ref="N44:N48" si="33">H44-J44</f>
        <v>2938</v>
      </c>
      <c r="O44" s="74">
        <f t="shared" ref="O44:O60" si="34">J44/G44</f>
        <v>0.420594594594595</v>
      </c>
      <c r="P44" s="61"/>
      <c r="Q44" s="33">
        <v>3400</v>
      </c>
      <c r="R44" s="33">
        <v>1700</v>
      </c>
      <c r="S44" s="33"/>
      <c r="T44" s="76">
        <v>1720</v>
      </c>
      <c r="U44" s="46">
        <v>1378</v>
      </c>
      <c r="V44" s="33">
        <f t="shared" ref="V44:V49" si="35">T44-U44</f>
        <v>342</v>
      </c>
      <c r="W44" s="74">
        <f t="shared" ref="W44:W49" si="36">(T44-U44)/ABS(U44)</f>
        <v>0.248185776487663</v>
      </c>
      <c r="X44" s="97">
        <f t="shared" si="28"/>
        <v>0.505882352941176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XCR44" s="13"/>
      <c r="XCS44" s="13"/>
      <c r="XCT44" s="13"/>
      <c r="XCU44" s="13"/>
      <c r="XCV44" s="13"/>
      <c r="XCW44" s="13"/>
      <c r="XCX44" s="13"/>
      <c r="XCY44" s="13"/>
      <c r="XCZ44" s="13"/>
      <c r="XDA44" s="13"/>
      <c r="XDB44" s="13"/>
      <c r="XDC44" s="13"/>
      <c r="XDD44" s="13"/>
      <c r="XDE44" s="13"/>
      <c r="XDF44" s="13"/>
      <c r="XDG44" s="13"/>
      <c r="XDH44" s="13"/>
      <c r="XDI44" s="13"/>
      <c r="XDJ44" s="13"/>
      <c r="XDK44" s="13"/>
      <c r="XDL44" s="13"/>
      <c r="XDM44" s="13"/>
      <c r="XDN44" s="13"/>
      <c r="XDO44" s="13"/>
      <c r="XDP44" s="13"/>
      <c r="XDQ44" s="13"/>
      <c r="XDR44" s="13"/>
      <c r="XDS44" s="13"/>
      <c r="XDT44" s="13"/>
      <c r="XDU44" s="13"/>
      <c r="XDV44" s="13"/>
      <c r="XDW44" s="13"/>
      <c r="XDX44" s="13"/>
      <c r="XDY44" s="13"/>
      <c r="XDZ44" s="13"/>
    </row>
    <row r="45" s="6" customFormat="1" ht="21.95" customHeight="1" outlineLevel="1" spans="1:16356">
      <c r="A45" s="49"/>
      <c r="B45" s="60" t="s">
        <v>187</v>
      </c>
      <c r="C45" s="45" t="s">
        <v>61</v>
      </c>
      <c r="D45" s="52"/>
      <c r="E45" s="51"/>
      <c r="F45" s="51"/>
      <c r="G45" s="43">
        <v>35000</v>
      </c>
      <c r="H45" s="52">
        <v>11000</v>
      </c>
      <c r="I45" s="79">
        <v>0</v>
      </c>
      <c r="J45" s="76">
        <v>9153</v>
      </c>
      <c r="K45" s="61">
        <v>6369</v>
      </c>
      <c r="L45" s="61">
        <f t="shared" si="27"/>
        <v>2784</v>
      </c>
      <c r="M45" s="74">
        <f t="shared" si="17"/>
        <v>0.43711728685822</v>
      </c>
      <c r="N45" s="76">
        <f t="shared" si="33"/>
        <v>1847</v>
      </c>
      <c r="O45" s="74">
        <f t="shared" si="34"/>
        <v>0.261514285714286</v>
      </c>
      <c r="P45" s="61"/>
      <c r="Q45" s="52">
        <v>2000</v>
      </c>
      <c r="R45" s="52">
        <v>-300</v>
      </c>
      <c r="S45" s="52"/>
      <c r="T45" s="76">
        <v>-778</v>
      </c>
      <c r="U45" s="76">
        <v>-515</v>
      </c>
      <c r="V45" s="33">
        <f t="shared" si="35"/>
        <v>-263</v>
      </c>
      <c r="W45" s="74">
        <f t="shared" si="36"/>
        <v>-0.510679611650485</v>
      </c>
      <c r="X45" s="97">
        <f t="shared" si="28"/>
        <v>-0.389</v>
      </c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  <c r="BW45" s="106"/>
      <c r="BX45" s="106"/>
      <c r="BY45" s="106"/>
      <c r="BZ45" s="106"/>
      <c r="CA45" s="106"/>
      <c r="CB45" s="106"/>
      <c r="CC45" s="106"/>
      <c r="CD45" s="106"/>
      <c r="CE45" s="106"/>
      <c r="CF45" s="106"/>
      <c r="CG45" s="106"/>
      <c r="CH45" s="106"/>
      <c r="CI45" s="106"/>
      <c r="CJ45" s="106"/>
      <c r="CK45" s="106"/>
      <c r="CL45" s="106"/>
      <c r="CM45" s="106"/>
      <c r="CN45" s="106"/>
      <c r="CO45" s="106"/>
      <c r="CP45" s="106"/>
      <c r="CQ45" s="106"/>
      <c r="CR45" s="106"/>
      <c r="CS45" s="106"/>
      <c r="CT45" s="106"/>
      <c r="CU45" s="106"/>
      <c r="CV45" s="106"/>
      <c r="CW45" s="106"/>
      <c r="CX45" s="106"/>
      <c r="CY45" s="106"/>
      <c r="CZ45" s="106"/>
      <c r="DA45" s="106"/>
      <c r="DB45" s="106"/>
      <c r="DC45" s="106"/>
      <c r="DD45" s="106"/>
      <c r="DE45" s="106"/>
      <c r="DF45" s="106"/>
      <c r="DG45" s="106"/>
      <c r="DH45" s="106"/>
      <c r="DI45" s="106"/>
      <c r="DJ45" s="106"/>
      <c r="DK45" s="106"/>
      <c r="DL45" s="106"/>
      <c r="DM45" s="106"/>
      <c r="DN45" s="106"/>
      <c r="DO45" s="106"/>
      <c r="DP45" s="106"/>
      <c r="DQ45" s="106"/>
      <c r="DR45" s="106"/>
      <c r="DS45" s="106"/>
      <c r="DT45" s="106"/>
      <c r="DU45" s="106"/>
      <c r="DV45" s="106"/>
      <c r="DW45" s="106"/>
      <c r="DX45" s="106"/>
      <c r="DY45" s="106"/>
      <c r="DZ45" s="106"/>
      <c r="EA45" s="106"/>
      <c r="EB45" s="106"/>
      <c r="EC45" s="106"/>
      <c r="ED45" s="106"/>
      <c r="EE45" s="106"/>
      <c r="EF45" s="106"/>
      <c r="EG45" s="106"/>
      <c r="EH45" s="106"/>
      <c r="EI45" s="106"/>
      <c r="EJ45" s="106"/>
      <c r="EK45" s="106"/>
      <c r="EL45" s="106"/>
      <c r="EM45" s="106"/>
      <c r="EN45" s="106"/>
      <c r="EO45" s="106"/>
      <c r="EP45" s="106"/>
      <c r="EQ45" s="106"/>
      <c r="ER45" s="106"/>
      <c r="ES45" s="106"/>
      <c r="ET45" s="106"/>
      <c r="EU45" s="106"/>
      <c r="EV45" s="106"/>
      <c r="EW45" s="106"/>
      <c r="EX45" s="106"/>
      <c r="EY45" s="106"/>
      <c r="EZ45" s="106"/>
      <c r="FA45" s="106"/>
      <c r="FB45" s="106"/>
      <c r="FC45" s="106"/>
      <c r="FD45" s="106"/>
      <c r="FE45" s="106"/>
      <c r="FF45" s="106"/>
      <c r="FG45" s="106"/>
      <c r="FH45" s="106"/>
      <c r="FI45" s="106"/>
      <c r="FJ45" s="106"/>
      <c r="FK45" s="106"/>
      <c r="FL45" s="106"/>
      <c r="FM45" s="106"/>
      <c r="FN45" s="106"/>
      <c r="FO45" s="106"/>
      <c r="FP45" s="106"/>
      <c r="FQ45" s="106"/>
      <c r="FR45" s="106"/>
      <c r="FS45" s="106"/>
      <c r="FT45" s="106"/>
      <c r="FU45" s="106"/>
      <c r="FV45" s="106"/>
      <c r="FW45" s="106"/>
      <c r="FX45" s="106"/>
      <c r="FY45" s="106"/>
      <c r="FZ45" s="106"/>
      <c r="GA45" s="106"/>
      <c r="GB45" s="106"/>
      <c r="GC45" s="106"/>
      <c r="GD45" s="106"/>
      <c r="GE45" s="106"/>
      <c r="GF45" s="106"/>
      <c r="GG45" s="106"/>
      <c r="GH45" s="106"/>
      <c r="GI45" s="106"/>
      <c r="GJ45" s="106"/>
      <c r="GK45" s="106"/>
      <c r="GL45" s="106"/>
      <c r="GM45" s="106"/>
      <c r="GN45" s="106"/>
      <c r="GO45" s="106"/>
      <c r="GP45" s="106"/>
      <c r="GQ45" s="106"/>
      <c r="GR45" s="106"/>
      <c r="GS45" s="106"/>
      <c r="GT45" s="106"/>
      <c r="GU45" s="106"/>
      <c r="GV45" s="106"/>
      <c r="GW45" s="106"/>
      <c r="GX45" s="106"/>
      <c r="GY45" s="106"/>
      <c r="GZ45" s="106"/>
      <c r="HA45" s="106"/>
      <c r="HB45" s="106"/>
      <c r="HC45" s="106"/>
      <c r="HD45" s="106"/>
      <c r="HE45" s="106"/>
      <c r="HF45" s="106"/>
      <c r="HG45" s="106"/>
      <c r="XCR45" s="108"/>
      <c r="XCS45" s="108"/>
      <c r="XCT45" s="108"/>
      <c r="XCU45" s="108"/>
      <c r="XCV45" s="108"/>
      <c r="XCW45" s="108"/>
      <c r="XCX45" s="108"/>
      <c r="XCY45" s="108"/>
      <c r="XCZ45" s="108"/>
      <c r="XDA45" s="108"/>
      <c r="XDB45" s="108"/>
      <c r="XDC45" s="108"/>
      <c r="XDD45" s="108"/>
      <c r="XDE45" s="108"/>
      <c r="XDF45" s="108"/>
      <c r="XDG45" s="108"/>
      <c r="XDH45" s="108"/>
      <c r="XDI45" s="108"/>
      <c r="XDJ45" s="108"/>
      <c r="XDK45" s="108"/>
      <c r="XDL45" s="108"/>
      <c r="XDM45" s="108"/>
      <c r="XDN45" s="108"/>
      <c r="XDO45" s="108"/>
      <c r="XDP45" s="108"/>
      <c r="XDQ45" s="108"/>
      <c r="XDR45" s="108"/>
      <c r="XDS45" s="108"/>
      <c r="XDT45" s="108"/>
      <c r="XDU45" s="108"/>
      <c r="XDV45" s="108"/>
      <c r="XDW45" s="108"/>
      <c r="XDX45" s="108"/>
      <c r="XDY45" s="108"/>
      <c r="XDZ45" s="108"/>
      <c r="XEB45" s="108"/>
    </row>
    <row r="46" s="3" customFormat="1" ht="21.75" customHeight="1" spans="1:16354">
      <c r="A46" s="30" t="s">
        <v>7</v>
      </c>
      <c r="B46" s="58"/>
      <c r="C46" s="36" t="s">
        <v>156</v>
      </c>
      <c r="D46" s="37"/>
      <c r="E46" s="38"/>
      <c r="F46" s="38"/>
      <c r="G46" s="53">
        <f t="shared" ref="G46:K46" si="37">SUM(G47:G53)-G50-G51</f>
        <v>1083000</v>
      </c>
      <c r="H46" s="37">
        <f t="shared" si="37"/>
        <v>592500</v>
      </c>
      <c r="I46" s="80">
        <v>0</v>
      </c>
      <c r="J46" s="37">
        <f t="shared" si="37"/>
        <v>592309</v>
      </c>
      <c r="K46" s="37">
        <f t="shared" si="37"/>
        <v>538777</v>
      </c>
      <c r="L46" s="37"/>
      <c r="M46" s="75">
        <f t="shared" si="17"/>
        <v>0.0993583616227123</v>
      </c>
      <c r="N46" s="66">
        <f t="shared" si="33"/>
        <v>191</v>
      </c>
      <c r="O46" s="67">
        <f t="shared" si="34"/>
        <v>0.546915050784857</v>
      </c>
      <c r="P46" s="81">
        <f>P53+P52+P48+P47</f>
        <v>-20022</v>
      </c>
      <c r="Q46" s="37">
        <f>SUM(Q47:Q53)-Q50-Q51</f>
        <v>60000</v>
      </c>
      <c r="R46" s="37">
        <f>SUM(R47:R53)-R50-R51</f>
        <v>30168</v>
      </c>
      <c r="S46" s="37" t="s">
        <v>25</v>
      </c>
      <c r="T46" s="37">
        <f>SUM(T47:T53)-T50-T51</f>
        <v>31350</v>
      </c>
      <c r="U46" s="37">
        <f>SUM(U47:U53)-U50-U51</f>
        <v>19936</v>
      </c>
      <c r="V46" s="91">
        <f t="shared" si="35"/>
        <v>11414</v>
      </c>
      <c r="W46" s="75">
        <f t="shared" si="36"/>
        <v>0.572532102728732</v>
      </c>
      <c r="X46" s="92">
        <f t="shared" si="28"/>
        <v>0.5225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XCR46" s="107"/>
      <c r="XCS46" s="107"/>
      <c r="XCT46" s="107"/>
      <c r="XCU46" s="107"/>
      <c r="XCV46" s="107"/>
      <c r="XCW46" s="107"/>
      <c r="XCX46" s="107"/>
      <c r="XCY46" s="107"/>
      <c r="XCZ46" s="107"/>
      <c r="XDA46" s="107"/>
      <c r="XDB46" s="107"/>
      <c r="XDC46" s="107"/>
      <c r="XDD46" s="107"/>
      <c r="XDE46" s="107"/>
      <c r="XDF46" s="107"/>
      <c r="XDG46" s="107"/>
      <c r="XDH46" s="107"/>
      <c r="XDI46" s="107"/>
      <c r="XDJ46" s="107"/>
      <c r="XDK46" s="107"/>
      <c r="XDL46" s="107"/>
      <c r="XDM46" s="107"/>
      <c r="XDN46" s="107"/>
      <c r="XDO46" s="107"/>
      <c r="XDP46" s="107"/>
      <c r="XDQ46" s="107"/>
      <c r="XDR46" s="107"/>
      <c r="XDS46" s="107"/>
      <c r="XDT46" s="107"/>
      <c r="XDU46" s="107"/>
      <c r="XDV46" s="107"/>
      <c r="XDW46" s="107"/>
      <c r="XDX46" s="107"/>
      <c r="XDY46" s="107"/>
      <c r="XDZ46" s="107"/>
    </row>
    <row r="47" s="1" customFormat="1" ht="20.85" customHeight="1" spans="1:16354">
      <c r="A47" s="30"/>
      <c r="B47" s="33">
        <v>14</v>
      </c>
      <c r="C47" s="56" t="s">
        <v>62</v>
      </c>
      <c r="D47" s="47" t="s">
        <v>188</v>
      </c>
      <c r="E47" s="43" t="s">
        <v>159</v>
      </c>
      <c r="F47" s="43" t="s">
        <v>154</v>
      </c>
      <c r="G47" s="43">
        <v>350000</v>
      </c>
      <c r="H47" s="33">
        <v>180000</v>
      </c>
      <c r="I47" s="78">
        <v>0</v>
      </c>
      <c r="J47" s="76">
        <v>175092</v>
      </c>
      <c r="K47" s="61">
        <v>167531</v>
      </c>
      <c r="L47" s="61">
        <f t="shared" ref="L47:L53" si="38">J47-K47</f>
        <v>7561</v>
      </c>
      <c r="M47" s="74">
        <f t="shared" si="17"/>
        <v>0.045131945729447</v>
      </c>
      <c r="N47" s="76">
        <f t="shared" si="33"/>
        <v>4908</v>
      </c>
      <c r="O47" s="74">
        <f t="shared" si="34"/>
        <v>0.500262857142857</v>
      </c>
      <c r="P47" s="61">
        <f t="shared" ref="P47:P53" si="39">J47-H47</f>
        <v>-4908</v>
      </c>
      <c r="Q47" s="33">
        <v>43000</v>
      </c>
      <c r="R47" s="33">
        <v>24500</v>
      </c>
      <c r="S47" s="33">
        <v>24500</v>
      </c>
      <c r="T47" s="76">
        <v>27006</v>
      </c>
      <c r="U47" s="46">
        <v>18590</v>
      </c>
      <c r="V47" s="33">
        <f t="shared" si="35"/>
        <v>8416</v>
      </c>
      <c r="W47" s="74">
        <f t="shared" si="36"/>
        <v>0.452716514254976</v>
      </c>
      <c r="X47" s="97">
        <f t="shared" ref="X47:X54" si="40">T47/Q47</f>
        <v>0.628046511627907</v>
      </c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XCR47" s="13"/>
      <c r="XCS47" s="13"/>
      <c r="XCT47" s="13"/>
      <c r="XCU47" s="13"/>
      <c r="XCV47" s="13"/>
      <c r="XCW47" s="13"/>
      <c r="XCX47" s="13"/>
      <c r="XCY47" s="13"/>
      <c r="XCZ47" s="13"/>
      <c r="XDA47" s="13"/>
      <c r="XDB47" s="13"/>
      <c r="XDC47" s="13"/>
      <c r="XDD47" s="13"/>
      <c r="XDE47" s="13"/>
      <c r="XDF47" s="13"/>
      <c r="XDG47" s="13"/>
      <c r="XDH47" s="13"/>
      <c r="XDI47" s="13"/>
      <c r="XDJ47" s="13"/>
      <c r="XDK47" s="13"/>
      <c r="XDL47" s="13"/>
      <c r="XDM47" s="13"/>
      <c r="XDN47" s="13"/>
      <c r="XDO47" s="13"/>
      <c r="XDP47" s="13"/>
      <c r="XDQ47" s="13"/>
      <c r="XDR47" s="13"/>
      <c r="XDS47" s="13"/>
      <c r="XDT47" s="13"/>
      <c r="XDU47" s="13"/>
      <c r="XDV47" s="13"/>
      <c r="XDW47" s="13"/>
      <c r="XDX47" s="13"/>
      <c r="XDY47" s="13"/>
      <c r="XDZ47" s="13"/>
    </row>
    <row r="48" s="1" customFormat="1" ht="20.85" customHeight="1" spans="1:16354">
      <c r="A48" s="30"/>
      <c r="B48" s="33">
        <v>15</v>
      </c>
      <c r="C48" s="45" t="s">
        <v>65</v>
      </c>
      <c r="D48" s="47" t="s">
        <v>188</v>
      </c>
      <c r="E48" s="43" t="s">
        <v>159</v>
      </c>
      <c r="F48" s="43" t="s">
        <v>154</v>
      </c>
      <c r="G48" s="43">
        <v>23000</v>
      </c>
      <c r="H48" s="33">
        <v>9500</v>
      </c>
      <c r="I48" s="78">
        <v>0</v>
      </c>
      <c r="J48" s="76">
        <v>9125</v>
      </c>
      <c r="K48" s="61">
        <v>9108</v>
      </c>
      <c r="L48" s="61">
        <f t="shared" si="38"/>
        <v>17</v>
      </c>
      <c r="M48" s="74">
        <f t="shared" si="17"/>
        <v>0.00186649099692571</v>
      </c>
      <c r="N48" s="76">
        <f t="shared" si="33"/>
        <v>375</v>
      </c>
      <c r="O48" s="74">
        <f t="shared" si="34"/>
        <v>0.396739130434783</v>
      </c>
      <c r="P48" s="61">
        <f t="shared" si="39"/>
        <v>-375</v>
      </c>
      <c r="Q48" s="33">
        <v>5500</v>
      </c>
      <c r="R48" s="33">
        <v>1800</v>
      </c>
      <c r="S48" s="82">
        <v>0</v>
      </c>
      <c r="T48" s="76">
        <v>1620</v>
      </c>
      <c r="U48" s="46">
        <v>2350</v>
      </c>
      <c r="V48" s="33">
        <f t="shared" si="35"/>
        <v>-730</v>
      </c>
      <c r="W48" s="74">
        <f t="shared" si="36"/>
        <v>-0.31063829787234</v>
      </c>
      <c r="X48" s="97">
        <f t="shared" si="40"/>
        <v>0.294545454545455</v>
      </c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XCR48" s="13"/>
      <c r="XCS48" s="13"/>
      <c r="XCT48" s="13"/>
      <c r="XCU48" s="13"/>
      <c r="XCV48" s="13"/>
      <c r="XCW48" s="13"/>
      <c r="XCX48" s="13"/>
      <c r="XCY48" s="13"/>
      <c r="XCZ48" s="13"/>
      <c r="XDA48" s="13"/>
      <c r="XDB48" s="13"/>
      <c r="XDC48" s="13"/>
      <c r="XDD48" s="13"/>
      <c r="XDE48" s="13"/>
      <c r="XDF48" s="13"/>
      <c r="XDG48" s="13"/>
      <c r="XDH48" s="13"/>
      <c r="XDI48" s="13"/>
      <c r="XDJ48" s="13"/>
      <c r="XDK48" s="13"/>
      <c r="XDL48" s="13"/>
      <c r="XDM48" s="13"/>
      <c r="XDN48" s="13"/>
      <c r="XDO48" s="13"/>
      <c r="XDP48" s="13"/>
      <c r="XDQ48" s="13"/>
      <c r="XDR48" s="13"/>
      <c r="XDS48" s="13"/>
      <c r="XDT48" s="13"/>
      <c r="XDU48" s="13"/>
      <c r="XDV48" s="13"/>
      <c r="XDW48" s="13"/>
      <c r="XDX48" s="13"/>
      <c r="XDY48" s="13"/>
      <c r="XDZ48" s="13"/>
    </row>
    <row r="49" s="1" customFormat="1" ht="20.85" customHeight="1" spans="1:16354">
      <c r="A49" s="30"/>
      <c r="B49" s="33">
        <v>16</v>
      </c>
      <c r="C49" s="45" t="s">
        <v>63</v>
      </c>
      <c r="D49" s="47" t="s">
        <v>188</v>
      </c>
      <c r="E49" s="43" t="s">
        <v>159</v>
      </c>
      <c r="F49" s="43" t="s">
        <v>154</v>
      </c>
      <c r="G49" s="43">
        <v>560000</v>
      </c>
      <c r="H49" s="33">
        <v>336000</v>
      </c>
      <c r="I49" s="78">
        <v>0</v>
      </c>
      <c r="J49" s="76">
        <f>336882+J9</f>
        <v>355831</v>
      </c>
      <c r="K49" s="61">
        <v>300206</v>
      </c>
      <c r="L49" s="61">
        <f t="shared" si="38"/>
        <v>55625</v>
      </c>
      <c r="M49" s="74">
        <f t="shared" si="17"/>
        <v>0.185289434588249</v>
      </c>
      <c r="N49" s="76"/>
      <c r="O49" s="74">
        <f t="shared" si="34"/>
        <v>0.6354125</v>
      </c>
      <c r="P49" s="61"/>
      <c r="Q49" s="33">
        <v>10000</v>
      </c>
      <c r="R49" s="33">
        <v>5168</v>
      </c>
      <c r="S49" s="82">
        <v>0</v>
      </c>
      <c r="T49" s="76">
        <f>8656-5150+1668</f>
        <v>5174</v>
      </c>
      <c r="U49" s="46">
        <v>630</v>
      </c>
      <c r="V49" s="33">
        <f t="shared" si="35"/>
        <v>4544</v>
      </c>
      <c r="W49" s="74">
        <f t="shared" si="36"/>
        <v>7.21269841269841</v>
      </c>
      <c r="X49" s="97">
        <f t="shared" si="40"/>
        <v>0.5174</v>
      </c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XCR49" s="13"/>
      <c r="XCS49" s="13"/>
      <c r="XCT49" s="13"/>
      <c r="XCU49" s="13"/>
      <c r="XCV49" s="13"/>
      <c r="XCW49" s="13"/>
      <c r="XCX49" s="13"/>
      <c r="XCY49" s="13"/>
      <c r="XCZ49" s="13"/>
      <c r="XDA49" s="13"/>
      <c r="XDB49" s="13"/>
      <c r="XDC49" s="13"/>
      <c r="XDD49" s="13"/>
      <c r="XDE49" s="13"/>
      <c r="XDF49" s="13"/>
      <c r="XDG49" s="13"/>
      <c r="XDH49" s="13"/>
      <c r="XDI49" s="13"/>
      <c r="XDJ49" s="13"/>
      <c r="XDK49" s="13"/>
      <c r="XDL49" s="13"/>
      <c r="XDM49" s="13"/>
      <c r="XDN49" s="13"/>
      <c r="XDO49" s="13"/>
      <c r="XDP49" s="13"/>
      <c r="XDQ49" s="13"/>
      <c r="XDR49" s="13"/>
      <c r="XDS49" s="13"/>
      <c r="XDT49" s="13"/>
      <c r="XDU49" s="13"/>
      <c r="XDV49" s="13"/>
      <c r="XDW49" s="13"/>
      <c r="XDX49" s="13"/>
      <c r="XDY49" s="13"/>
      <c r="XDZ49" s="13"/>
    </row>
    <row r="50" s="1" customFormat="1" ht="20.85" customHeight="1" spans="1:16354">
      <c r="A50" s="30"/>
      <c r="B50" s="44"/>
      <c r="C50" s="48" t="s">
        <v>161</v>
      </c>
      <c r="D50" s="33"/>
      <c r="E50" s="43"/>
      <c r="F50" s="43"/>
      <c r="G50" s="43">
        <f t="shared" ref="G50:K50" si="41">G49-G51</f>
        <v>340000</v>
      </c>
      <c r="H50" s="61">
        <f t="shared" si="41"/>
        <v>116000</v>
      </c>
      <c r="I50" s="78">
        <v>0</v>
      </c>
      <c r="J50" s="61">
        <f t="shared" si="41"/>
        <v>124973</v>
      </c>
      <c r="K50" s="61">
        <f t="shared" si="41"/>
        <v>69609</v>
      </c>
      <c r="L50" s="61">
        <f t="shared" si="38"/>
        <v>55364</v>
      </c>
      <c r="M50" s="74">
        <f t="shared" si="17"/>
        <v>0.795356922237067</v>
      </c>
      <c r="N50" s="74"/>
      <c r="O50" s="74">
        <f t="shared" si="34"/>
        <v>0.367567647058824</v>
      </c>
      <c r="P50" s="61"/>
      <c r="Q50" s="82">
        <v>0</v>
      </c>
      <c r="R50" s="82">
        <v>0</v>
      </c>
      <c r="S50" s="82">
        <v>0</v>
      </c>
      <c r="T50" s="98">
        <v>0</v>
      </c>
      <c r="U50" s="82">
        <v>0</v>
      </c>
      <c r="V50" s="82"/>
      <c r="W50" s="82">
        <v>0</v>
      </c>
      <c r="X50" s="97" t="s">
        <v>25</v>
      </c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XCR50" s="13"/>
      <c r="XCS50" s="13"/>
      <c r="XCT50" s="13"/>
      <c r="XCU50" s="13"/>
      <c r="XCV50" s="13"/>
      <c r="XCW50" s="13"/>
      <c r="XCX50" s="13"/>
      <c r="XCY50" s="13"/>
      <c r="XCZ50" s="13"/>
      <c r="XDA50" s="13"/>
      <c r="XDB50" s="13"/>
      <c r="XDC50" s="13"/>
      <c r="XDD50" s="13"/>
      <c r="XDE50" s="13"/>
      <c r="XDF50" s="13"/>
      <c r="XDG50" s="13"/>
      <c r="XDH50" s="13"/>
      <c r="XDI50" s="13"/>
      <c r="XDJ50" s="13"/>
      <c r="XDK50" s="13"/>
      <c r="XDL50" s="13"/>
      <c r="XDM50" s="13"/>
      <c r="XDN50" s="13"/>
      <c r="XDO50" s="13"/>
      <c r="XDP50" s="13"/>
      <c r="XDQ50" s="13"/>
      <c r="XDR50" s="13"/>
      <c r="XDS50" s="13"/>
      <c r="XDT50" s="13"/>
      <c r="XDU50" s="13"/>
      <c r="XDV50" s="13"/>
      <c r="XDW50" s="13"/>
      <c r="XDX50" s="13"/>
      <c r="XDY50" s="13"/>
      <c r="XDZ50" s="13"/>
    </row>
    <row r="51" s="1" customFormat="1" ht="20.85" customHeight="1" spans="1:16354">
      <c r="A51" s="30"/>
      <c r="B51" s="44"/>
      <c r="C51" s="48" t="s">
        <v>162</v>
      </c>
      <c r="D51" s="43" t="s">
        <v>163</v>
      </c>
      <c r="E51" s="43"/>
      <c r="F51" s="43"/>
      <c r="G51" s="43">
        <v>220000</v>
      </c>
      <c r="H51" s="33">
        <v>220000</v>
      </c>
      <c r="I51" s="78">
        <v>0</v>
      </c>
      <c r="J51" s="76">
        <v>230858</v>
      </c>
      <c r="K51" s="61">
        <v>230597</v>
      </c>
      <c r="L51" s="61">
        <f t="shared" si="38"/>
        <v>261</v>
      </c>
      <c r="M51" s="74">
        <f t="shared" si="17"/>
        <v>0.00113184473345274</v>
      </c>
      <c r="N51" s="74"/>
      <c r="O51" s="74">
        <f t="shared" si="34"/>
        <v>1.04935454545455</v>
      </c>
      <c r="P51" s="61"/>
      <c r="Q51" s="82">
        <v>0</v>
      </c>
      <c r="R51" s="82">
        <v>0</v>
      </c>
      <c r="S51" s="82">
        <v>0</v>
      </c>
      <c r="T51" s="98">
        <v>0</v>
      </c>
      <c r="U51" s="82">
        <v>0</v>
      </c>
      <c r="V51" s="82"/>
      <c r="W51" s="82">
        <v>0</v>
      </c>
      <c r="X51" s="97" t="s">
        <v>25</v>
      </c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XCR51" s="13"/>
      <c r="XCS51" s="13"/>
      <c r="XCT51" s="13"/>
      <c r="XCU51" s="13"/>
      <c r="XCV51" s="13"/>
      <c r="XCW51" s="13"/>
      <c r="XCX51" s="13"/>
      <c r="XCY51" s="13"/>
      <c r="XCZ51" s="13"/>
      <c r="XDA51" s="13"/>
      <c r="XDB51" s="13"/>
      <c r="XDC51" s="13"/>
      <c r="XDD51" s="13"/>
      <c r="XDE51" s="13"/>
      <c r="XDF51" s="13"/>
      <c r="XDG51" s="13"/>
      <c r="XDH51" s="13"/>
      <c r="XDI51" s="13"/>
      <c r="XDJ51" s="13"/>
      <c r="XDK51" s="13"/>
      <c r="XDL51" s="13"/>
      <c r="XDM51" s="13"/>
      <c r="XDN51" s="13"/>
      <c r="XDO51" s="13"/>
      <c r="XDP51" s="13"/>
      <c r="XDQ51" s="13"/>
      <c r="XDR51" s="13"/>
      <c r="XDS51" s="13"/>
      <c r="XDT51" s="13"/>
      <c r="XDU51" s="13"/>
      <c r="XDV51" s="13"/>
      <c r="XDW51" s="13"/>
      <c r="XDX51" s="13"/>
      <c r="XDY51" s="13"/>
      <c r="XDZ51" s="13"/>
    </row>
    <row r="52" s="1" customFormat="1" ht="20.85" customHeight="1" spans="1:16354">
      <c r="A52" s="30"/>
      <c r="B52" s="33">
        <v>17</v>
      </c>
      <c r="C52" s="41" t="s">
        <v>66</v>
      </c>
      <c r="D52" s="47" t="s">
        <v>188</v>
      </c>
      <c r="E52" s="43" t="s">
        <v>159</v>
      </c>
      <c r="F52" s="43" t="s">
        <v>154</v>
      </c>
      <c r="G52" s="43">
        <v>50000</v>
      </c>
      <c r="H52" s="33">
        <v>18000</v>
      </c>
      <c r="I52" s="78">
        <v>0</v>
      </c>
      <c r="J52" s="76">
        <v>15204</v>
      </c>
      <c r="K52" s="61">
        <v>13834</v>
      </c>
      <c r="L52" s="61">
        <f t="shared" si="38"/>
        <v>1370</v>
      </c>
      <c r="M52" s="74">
        <f t="shared" si="17"/>
        <v>0.0990313719820732</v>
      </c>
      <c r="N52" s="76">
        <f t="shared" ref="N52:N55" si="42">H52-J52</f>
        <v>2796</v>
      </c>
      <c r="O52" s="74">
        <f t="shared" si="34"/>
        <v>0.30408</v>
      </c>
      <c r="P52" s="61">
        <f t="shared" si="39"/>
        <v>-2796</v>
      </c>
      <c r="Q52" s="33">
        <v>500</v>
      </c>
      <c r="R52" s="33">
        <v>-600</v>
      </c>
      <c r="S52" s="82">
        <v>0</v>
      </c>
      <c r="T52" s="76">
        <v>-850</v>
      </c>
      <c r="U52" s="46">
        <v>-2058</v>
      </c>
      <c r="V52" s="33">
        <f t="shared" ref="V52:V55" si="43">T52-U52</f>
        <v>1208</v>
      </c>
      <c r="W52" s="74">
        <f t="shared" ref="W52:W55" si="44">(T52-U52)/ABS(U52)</f>
        <v>0.586977648202138</v>
      </c>
      <c r="X52" s="97">
        <f t="shared" si="40"/>
        <v>-1.7</v>
      </c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XCR52" s="13"/>
      <c r="XCS52" s="13"/>
      <c r="XCT52" s="13"/>
      <c r="XCU52" s="13"/>
      <c r="XCV52" s="13"/>
      <c r="XCW52" s="13"/>
      <c r="XCX52" s="13"/>
      <c r="XCY52" s="13"/>
      <c r="XCZ52" s="13"/>
      <c r="XDA52" s="13"/>
      <c r="XDB52" s="13"/>
      <c r="XDC52" s="13"/>
      <c r="XDD52" s="13"/>
      <c r="XDE52" s="13"/>
      <c r="XDF52" s="13"/>
      <c r="XDG52" s="13"/>
      <c r="XDH52" s="13"/>
      <c r="XDI52" s="13"/>
      <c r="XDJ52" s="13"/>
      <c r="XDK52" s="13"/>
      <c r="XDL52" s="13"/>
      <c r="XDM52" s="13"/>
      <c r="XDN52" s="13"/>
      <c r="XDO52" s="13"/>
      <c r="XDP52" s="13"/>
      <c r="XDQ52" s="13"/>
      <c r="XDR52" s="13"/>
      <c r="XDS52" s="13"/>
      <c r="XDT52" s="13"/>
      <c r="XDU52" s="13"/>
      <c r="XDV52" s="13"/>
      <c r="XDW52" s="13"/>
      <c r="XDX52" s="13"/>
      <c r="XDY52" s="13"/>
      <c r="XDZ52" s="13"/>
    </row>
    <row r="53" s="1" customFormat="1" ht="20.85" customHeight="1" spans="1:16354">
      <c r="A53" s="30"/>
      <c r="B53" s="33">
        <v>18</v>
      </c>
      <c r="C53" s="55" t="s">
        <v>64</v>
      </c>
      <c r="D53" s="47" t="s">
        <v>188</v>
      </c>
      <c r="E53" s="43" t="s">
        <v>159</v>
      </c>
      <c r="F53" s="43" t="s">
        <v>154</v>
      </c>
      <c r="G53" s="43">
        <v>100000</v>
      </c>
      <c r="H53" s="33">
        <v>49000</v>
      </c>
      <c r="I53" s="78">
        <v>0</v>
      </c>
      <c r="J53" s="76">
        <v>37057</v>
      </c>
      <c r="K53" s="61">
        <v>48098</v>
      </c>
      <c r="L53" s="61">
        <f t="shared" si="38"/>
        <v>-11041</v>
      </c>
      <c r="M53" s="74">
        <f t="shared" si="17"/>
        <v>-0.229552164331157</v>
      </c>
      <c r="N53" s="76">
        <f t="shared" si="42"/>
        <v>11943</v>
      </c>
      <c r="O53" s="74">
        <f t="shared" si="34"/>
        <v>0.37057</v>
      </c>
      <c r="P53" s="61">
        <f t="shared" si="39"/>
        <v>-11943</v>
      </c>
      <c r="Q53" s="33">
        <v>1000</v>
      </c>
      <c r="R53" s="33">
        <v>-700</v>
      </c>
      <c r="S53" s="33">
        <v>-1600</v>
      </c>
      <c r="T53" s="76">
        <v>-1600</v>
      </c>
      <c r="U53" s="46">
        <v>424</v>
      </c>
      <c r="V53" s="33">
        <f t="shared" si="43"/>
        <v>-2024</v>
      </c>
      <c r="W53" s="74">
        <f t="shared" si="44"/>
        <v>-4.77358490566038</v>
      </c>
      <c r="X53" s="97">
        <f t="shared" si="40"/>
        <v>-1.6</v>
      </c>
      <c r="Y53" s="4" t="s">
        <v>189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XCR53" s="13"/>
      <c r="XCS53" s="13"/>
      <c r="XCT53" s="13"/>
      <c r="XCU53" s="13"/>
      <c r="XCV53" s="13"/>
      <c r="XCW53" s="13"/>
      <c r="XCX53" s="13"/>
      <c r="XCY53" s="13"/>
      <c r="XCZ53" s="13"/>
      <c r="XDA53" s="13"/>
      <c r="XDB53" s="13"/>
      <c r="XDC53" s="13"/>
      <c r="XDD53" s="13"/>
      <c r="XDE53" s="13"/>
      <c r="XDF53" s="13"/>
      <c r="XDG53" s="13"/>
      <c r="XDH53" s="13"/>
      <c r="XDI53" s="13"/>
      <c r="XDJ53" s="13"/>
      <c r="XDK53" s="13"/>
      <c r="XDL53" s="13"/>
      <c r="XDM53" s="13"/>
      <c r="XDN53" s="13"/>
      <c r="XDO53" s="13"/>
      <c r="XDP53" s="13"/>
      <c r="XDQ53" s="13"/>
      <c r="XDR53" s="13"/>
      <c r="XDS53" s="13"/>
      <c r="XDT53" s="13"/>
      <c r="XDU53" s="13"/>
      <c r="XDV53" s="13"/>
      <c r="XDW53" s="13"/>
      <c r="XDX53" s="13"/>
      <c r="XDY53" s="13"/>
      <c r="XDZ53" s="13"/>
    </row>
    <row r="54" s="3" customFormat="1" ht="21.4" customHeight="1" spans="1:16354">
      <c r="A54" s="30" t="s">
        <v>190</v>
      </c>
      <c r="B54" s="37"/>
      <c r="C54" s="36" t="s">
        <v>156</v>
      </c>
      <c r="D54" s="37"/>
      <c r="E54" s="38"/>
      <c r="F54" s="38"/>
      <c r="G54" s="37">
        <f t="shared" ref="G54:K54" si="45">G55+G56</f>
        <v>30000</v>
      </c>
      <c r="H54" s="37">
        <f t="shared" si="45"/>
        <v>6200</v>
      </c>
      <c r="I54" s="80">
        <v>0</v>
      </c>
      <c r="J54" s="37">
        <f t="shared" si="45"/>
        <v>5481</v>
      </c>
      <c r="K54" s="37">
        <f t="shared" si="45"/>
        <v>4517</v>
      </c>
      <c r="L54" s="37"/>
      <c r="M54" s="75">
        <f t="shared" si="17"/>
        <v>0.213415984060217</v>
      </c>
      <c r="N54" s="66">
        <f t="shared" si="42"/>
        <v>719</v>
      </c>
      <c r="O54" s="67">
        <f t="shared" si="34"/>
        <v>0.1827</v>
      </c>
      <c r="P54" s="37">
        <f>P55+P56</f>
        <v>-735</v>
      </c>
      <c r="Q54" s="37">
        <f>Q55+Q56</f>
        <v>-700</v>
      </c>
      <c r="R54" s="37">
        <f>R55+R56</f>
        <v>-800</v>
      </c>
      <c r="S54" s="37" t="s">
        <v>25</v>
      </c>
      <c r="T54" s="37">
        <f>T55+T56</f>
        <v>-2889</v>
      </c>
      <c r="U54" s="37">
        <f>U55+U56</f>
        <v>-1126</v>
      </c>
      <c r="V54" s="91">
        <f t="shared" si="43"/>
        <v>-1763</v>
      </c>
      <c r="W54" s="75">
        <f t="shared" si="44"/>
        <v>-1.56571936056838</v>
      </c>
      <c r="X54" s="92">
        <f t="shared" si="40"/>
        <v>4.12714285714286</v>
      </c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XCR54" s="107"/>
      <c r="XCS54" s="107"/>
      <c r="XCT54" s="107"/>
      <c r="XCU54" s="107"/>
      <c r="XCV54" s="107"/>
      <c r="XCW54" s="107"/>
      <c r="XCX54" s="107"/>
      <c r="XCY54" s="107"/>
      <c r="XCZ54" s="107"/>
      <c r="XDA54" s="107"/>
      <c r="XDB54" s="107"/>
      <c r="XDC54" s="107"/>
      <c r="XDD54" s="107"/>
      <c r="XDE54" s="107"/>
      <c r="XDF54" s="107"/>
      <c r="XDG54" s="107"/>
      <c r="XDH54" s="107"/>
      <c r="XDI54" s="107"/>
      <c r="XDJ54" s="107"/>
      <c r="XDK54" s="107"/>
      <c r="XDL54" s="107"/>
      <c r="XDM54" s="107"/>
      <c r="XDN54" s="107"/>
      <c r="XDO54" s="107"/>
      <c r="XDP54" s="107"/>
      <c r="XDQ54" s="107"/>
      <c r="XDR54" s="107"/>
      <c r="XDS54" s="107"/>
      <c r="XDT54" s="107"/>
      <c r="XDU54" s="107"/>
      <c r="XDV54" s="107"/>
      <c r="XDW54" s="107"/>
      <c r="XDX54" s="107"/>
      <c r="XDY54" s="107"/>
      <c r="XDZ54" s="107"/>
    </row>
    <row r="55" s="1" customFormat="1" ht="20.25" customHeight="1" spans="1:16354">
      <c r="A55" s="30"/>
      <c r="B55" s="32">
        <v>19</v>
      </c>
      <c r="C55" s="55" t="s">
        <v>67</v>
      </c>
      <c r="D55" s="47" t="s">
        <v>174</v>
      </c>
      <c r="E55" s="43" t="s">
        <v>159</v>
      </c>
      <c r="F55" s="43" t="s">
        <v>154</v>
      </c>
      <c r="G55" s="43">
        <v>20000</v>
      </c>
      <c r="H55" s="33">
        <v>6200</v>
      </c>
      <c r="I55" s="78">
        <v>0</v>
      </c>
      <c r="J55" s="76">
        <v>5465</v>
      </c>
      <c r="K55" s="61">
        <v>4517</v>
      </c>
      <c r="L55" s="61">
        <f t="shared" ref="L55:L65" si="46">J55-K55</f>
        <v>948</v>
      </c>
      <c r="M55" s="74">
        <f t="shared" si="17"/>
        <v>0.209873810050919</v>
      </c>
      <c r="N55" s="76">
        <f t="shared" si="42"/>
        <v>735</v>
      </c>
      <c r="O55" s="74">
        <f t="shared" si="34"/>
        <v>0.27325</v>
      </c>
      <c r="P55" s="61">
        <f>J55-H55</f>
        <v>-735</v>
      </c>
      <c r="Q55" s="33">
        <v>-700</v>
      </c>
      <c r="R55" s="33">
        <v>-800</v>
      </c>
      <c r="S55" s="82">
        <v>0</v>
      </c>
      <c r="T55" s="76">
        <v>-989</v>
      </c>
      <c r="U55" s="46">
        <v>-1126</v>
      </c>
      <c r="V55" s="33">
        <f t="shared" si="43"/>
        <v>137</v>
      </c>
      <c r="W55" s="74">
        <f t="shared" si="44"/>
        <v>0.121669626998224</v>
      </c>
      <c r="X55" s="97">
        <f>2-T55/Q55</f>
        <v>0.587142857142857</v>
      </c>
      <c r="Y55" s="4" t="s">
        <v>191</v>
      </c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XCR55" s="13"/>
      <c r="XCS55" s="13"/>
      <c r="XCT55" s="13"/>
      <c r="XCU55" s="13"/>
      <c r="XCV55" s="13"/>
      <c r="XCW55" s="13"/>
      <c r="XCX55" s="13"/>
      <c r="XCY55" s="13"/>
      <c r="XCZ55" s="13"/>
      <c r="XDA55" s="13"/>
      <c r="XDB55" s="13"/>
      <c r="XDC55" s="13"/>
      <c r="XDD55" s="13"/>
      <c r="XDE55" s="13"/>
      <c r="XDF55" s="13"/>
      <c r="XDG55" s="13"/>
      <c r="XDH55" s="13"/>
      <c r="XDI55" s="13"/>
      <c r="XDJ55" s="13"/>
      <c r="XDK55" s="13"/>
      <c r="XDL55" s="13"/>
      <c r="XDM55" s="13"/>
      <c r="XDN55" s="13"/>
      <c r="XDO55" s="13"/>
      <c r="XDP55" s="13"/>
      <c r="XDQ55" s="13"/>
      <c r="XDR55" s="13"/>
      <c r="XDS55" s="13"/>
      <c r="XDT55" s="13"/>
      <c r="XDU55" s="13"/>
      <c r="XDV55" s="13"/>
      <c r="XDW55" s="13"/>
      <c r="XDX55" s="13"/>
      <c r="XDY55" s="13"/>
      <c r="XDZ55" s="13"/>
    </row>
    <row r="56" s="1" customFormat="1" ht="20.25" customHeight="1" spans="1:16354">
      <c r="A56" s="30"/>
      <c r="B56" s="32">
        <v>20</v>
      </c>
      <c r="C56" s="45" t="s">
        <v>68</v>
      </c>
      <c r="D56" s="47" t="s">
        <v>174</v>
      </c>
      <c r="E56" s="43" t="s">
        <v>159</v>
      </c>
      <c r="F56" s="43" t="s">
        <v>154</v>
      </c>
      <c r="G56" s="43">
        <v>10000</v>
      </c>
      <c r="H56" s="33">
        <v>0</v>
      </c>
      <c r="I56" s="78">
        <v>0</v>
      </c>
      <c r="J56" s="76">
        <v>16</v>
      </c>
      <c r="K56" s="61">
        <v>0</v>
      </c>
      <c r="L56" s="61">
        <f t="shared" si="46"/>
        <v>16</v>
      </c>
      <c r="M56" s="74" t="s">
        <v>25</v>
      </c>
      <c r="N56" s="74" t="s">
        <v>25</v>
      </c>
      <c r="O56" s="74">
        <f t="shared" si="34"/>
        <v>0.0016</v>
      </c>
      <c r="P56" s="61"/>
      <c r="Q56" s="82">
        <v>0</v>
      </c>
      <c r="R56" s="82">
        <v>0</v>
      </c>
      <c r="S56" s="82">
        <v>0</v>
      </c>
      <c r="T56" s="76">
        <v>-1900</v>
      </c>
      <c r="U56" s="82">
        <v>0</v>
      </c>
      <c r="V56" s="82"/>
      <c r="W56" s="74" t="s">
        <v>25</v>
      </c>
      <c r="X56" s="97" t="s">
        <v>25</v>
      </c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XCR56" s="13"/>
      <c r="XCS56" s="13"/>
      <c r="XCT56" s="13"/>
      <c r="XCU56" s="13"/>
      <c r="XCV56" s="13"/>
      <c r="XCW56" s="13"/>
      <c r="XCX56" s="13"/>
      <c r="XCY56" s="13"/>
      <c r="XCZ56" s="13"/>
      <c r="XDA56" s="13"/>
      <c r="XDB56" s="13"/>
      <c r="XDC56" s="13"/>
      <c r="XDD56" s="13"/>
      <c r="XDE56" s="13"/>
      <c r="XDF56" s="13"/>
      <c r="XDG56" s="13"/>
      <c r="XDH56" s="13"/>
      <c r="XDI56" s="13"/>
      <c r="XDJ56" s="13"/>
      <c r="XDK56" s="13"/>
      <c r="XDL56" s="13"/>
      <c r="XDM56" s="13"/>
      <c r="XDN56" s="13"/>
      <c r="XDO56" s="13"/>
      <c r="XDP56" s="13"/>
      <c r="XDQ56" s="13"/>
      <c r="XDR56" s="13"/>
      <c r="XDS56" s="13"/>
      <c r="XDT56" s="13"/>
      <c r="XDU56" s="13"/>
      <c r="XDV56" s="13"/>
      <c r="XDW56" s="13"/>
      <c r="XDX56" s="13"/>
      <c r="XDY56" s="13"/>
      <c r="XDZ56" s="13"/>
    </row>
    <row r="57" s="3" customFormat="1" ht="22.15" customHeight="1" spans="1:16354">
      <c r="A57" s="30" t="s">
        <v>9</v>
      </c>
      <c r="B57" s="35"/>
      <c r="C57" s="36" t="s">
        <v>156</v>
      </c>
      <c r="D57" s="37"/>
      <c r="E57" s="38"/>
      <c r="F57" s="38"/>
      <c r="G57" s="37">
        <f t="shared" ref="G57:K57" si="47">G58+G63+G64+G65</f>
        <v>1789600</v>
      </c>
      <c r="H57" s="37">
        <f t="shared" si="47"/>
        <v>718300</v>
      </c>
      <c r="I57" s="39">
        <v>737999.8</v>
      </c>
      <c r="J57" s="37">
        <f t="shared" si="47"/>
        <v>754408</v>
      </c>
      <c r="K57" s="37">
        <f t="shared" si="47"/>
        <v>725746</v>
      </c>
      <c r="L57" s="37"/>
      <c r="M57" s="75">
        <f t="shared" ref="M57:M59" si="48">J57/K57-1</f>
        <v>0.0394931560077492</v>
      </c>
      <c r="N57" s="66"/>
      <c r="O57" s="67">
        <f t="shared" si="34"/>
        <v>0.421551184622262</v>
      </c>
      <c r="P57" s="39">
        <f>P58+P63+P64+P65</f>
        <v>13731.2</v>
      </c>
      <c r="Q57" s="37">
        <f>Q58+Q63+Q64+Q65</f>
        <v>11700</v>
      </c>
      <c r="R57" s="37">
        <f>R58+R63+R64+R65</f>
        <v>5480</v>
      </c>
      <c r="S57" s="37" t="s">
        <v>25</v>
      </c>
      <c r="T57" s="37">
        <f>T58+T63+T64+T65</f>
        <v>6159</v>
      </c>
      <c r="U57" s="37">
        <f>U58+U63+U64+U65</f>
        <v>9682</v>
      </c>
      <c r="V57" s="91">
        <f t="shared" ref="V57:V60" si="49">T57-U57</f>
        <v>-3523</v>
      </c>
      <c r="W57" s="75">
        <f t="shared" ref="W57:W59" si="50">(T57-U57)/ABS(U57)</f>
        <v>-0.363871101012188</v>
      </c>
      <c r="X57" s="92">
        <f t="shared" ref="X55:X65" si="51">T57/Q57</f>
        <v>0.526410256410256</v>
      </c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XCR57" s="107"/>
      <c r="XCS57" s="107"/>
      <c r="XCT57" s="107"/>
      <c r="XCU57" s="107"/>
      <c r="XCV57" s="107"/>
      <c r="XCW57" s="107"/>
      <c r="XCX57" s="107"/>
      <c r="XCY57" s="107"/>
      <c r="XCZ57" s="107"/>
      <c r="XDA57" s="107"/>
      <c r="XDB57" s="107"/>
      <c r="XDC57" s="107"/>
      <c r="XDD57" s="107"/>
      <c r="XDE57" s="107"/>
      <c r="XDF57" s="107"/>
      <c r="XDG57" s="107"/>
      <c r="XDH57" s="107"/>
      <c r="XDI57" s="107"/>
      <c r="XDJ57" s="107"/>
      <c r="XDK57" s="107"/>
      <c r="XDL57" s="107"/>
      <c r="XDM57" s="107"/>
      <c r="XDN57" s="107"/>
      <c r="XDO57" s="107"/>
      <c r="XDP57" s="107"/>
      <c r="XDQ57" s="107"/>
      <c r="XDR57" s="107"/>
      <c r="XDS57" s="107"/>
      <c r="XDT57" s="107"/>
      <c r="XDU57" s="107"/>
      <c r="XDV57" s="107"/>
      <c r="XDW57" s="107"/>
      <c r="XDX57" s="107"/>
      <c r="XDY57" s="107"/>
      <c r="XDZ57" s="107"/>
    </row>
    <row r="58" s="1" customFormat="1" ht="20.25" customHeight="1" spans="1:16354">
      <c r="A58" s="30"/>
      <c r="B58" s="32">
        <v>21</v>
      </c>
      <c r="C58" s="45" t="s">
        <v>72</v>
      </c>
      <c r="D58" s="47" t="s">
        <v>192</v>
      </c>
      <c r="E58" s="43" t="s">
        <v>180</v>
      </c>
      <c r="F58" s="43" t="s">
        <v>154</v>
      </c>
      <c r="G58" s="43">
        <v>1400000</v>
      </c>
      <c r="H58" s="33">
        <v>540000</v>
      </c>
      <c r="I58" s="62">
        <v>549999.8</v>
      </c>
      <c r="J58" s="61">
        <f>J59+J60</f>
        <v>559142</v>
      </c>
      <c r="K58" s="61">
        <f>K59+K60</f>
        <v>502679</v>
      </c>
      <c r="L58" s="61">
        <f t="shared" si="46"/>
        <v>56463</v>
      </c>
      <c r="M58" s="74">
        <f t="shared" si="48"/>
        <v>0.112324167112611</v>
      </c>
      <c r="N58" s="76">
        <f>I58-J58</f>
        <v>-9142.19999999995</v>
      </c>
      <c r="O58" s="74">
        <f t="shared" si="34"/>
        <v>0.399387142857143</v>
      </c>
      <c r="P58" s="61">
        <f t="shared" ref="P58:P64" si="52">J58-I58</f>
        <v>9142.19999999995</v>
      </c>
      <c r="Q58" s="33">
        <v>1000</v>
      </c>
      <c r="R58" s="33">
        <v>480</v>
      </c>
      <c r="S58" s="82">
        <v>0</v>
      </c>
      <c r="T58" s="61">
        <f>T59+T60</f>
        <v>526</v>
      </c>
      <c r="U58" s="33">
        <f>U59+U60</f>
        <v>626</v>
      </c>
      <c r="V58" s="33">
        <f t="shared" si="49"/>
        <v>-100</v>
      </c>
      <c r="W58" s="74">
        <f t="shared" si="50"/>
        <v>-0.159744408945687</v>
      </c>
      <c r="X58" s="97">
        <f t="shared" si="51"/>
        <v>0.526</v>
      </c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XCR58" s="13"/>
      <c r="XCS58" s="13"/>
      <c r="XCT58" s="13"/>
      <c r="XCU58" s="13"/>
      <c r="XCV58" s="13"/>
      <c r="XCW58" s="13"/>
      <c r="XCX58" s="13"/>
      <c r="XCY58" s="13"/>
      <c r="XCZ58" s="13"/>
      <c r="XDA58" s="13"/>
      <c r="XDB58" s="13"/>
      <c r="XDC58" s="13"/>
      <c r="XDD58" s="13"/>
      <c r="XDE58" s="13"/>
      <c r="XDF58" s="13"/>
      <c r="XDG58" s="13"/>
      <c r="XDH58" s="13"/>
      <c r="XDI58" s="13"/>
      <c r="XDJ58" s="13"/>
      <c r="XDK58" s="13"/>
      <c r="XDL58" s="13"/>
      <c r="XDM58" s="13"/>
      <c r="XDN58" s="13"/>
      <c r="XDO58" s="13"/>
      <c r="XDP58" s="13"/>
      <c r="XDQ58" s="13"/>
      <c r="XDR58" s="13"/>
      <c r="XDS58" s="13"/>
      <c r="XDT58" s="13"/>
      <c r="XDU58" s="13"/>
      <c r="XDV58" s="13"/>
      <c r="XDW58" s="13"/>
      <c r="XDX58" s="13"/>
      <c r="XDY58" s="13"/>
      <c r="XDZ58" s="13"/>
    </row>
    <row r="59" s="1" customFormat="1" ht="20.25" customHeight="1" outlineLevel="1" spans="1:16354">
      <c r="A59" s="30"/>
      <c r="B59" s="44" t="s">
        <v>169</v>
      </c>
      <c r="C59" s="45" t="s">
        <v>72</v>
      </c>
      <c r="D59" s="33"/>
      <c r="E59" s="43"/>
      <c r="F59" s="43"/>
      <c r="G59" s="43">
        <v>1000000</v>
      </c>
      <c r="H59" s="33">
        <v>420000</v>
      </c>
      <c r="I59" s="43">
        <v>420000</v>
      </c>
      <c r="J59" s="76">
        <v>428142</v>
      </c>
      <c r="K59" s="61">
        <v>502679</v>
      </c>
      <c r="L59" s="61">
        <f t="shared" si="46"/>
        <v>-74537</v>
      </c>
      <c r="M59" s="74">
        <f t="shared" si="48"/>
        <v>-0.14827951834073</v>
      </c>
      <c r="N59" s="76">
        <f>H59-J59</f>
        <v>-8142</v>
      </c>
      <c r="O59" s="74">
        <f t="shared" si="34"/>
        <v>0.428142</v>
      </c>
      <c r="P59" s="61"/>
      <c r="Q59" s="33">
        <v>1000</v>
      </c>
      <c r="R59" s="33">
        <v>400</v>
      </c>
      <c r="S59" s="82">
        <v>0</v>
      </c>
      <c r="T59" s="76">
        <v>500</v>
      </c>
      <c r="U59" s="46">
        <v>626</v>
      </c>
      <c r="V59" s="33">
        <f t="shared" si="49"/>
        <v>-126</v>
      </c>
      <c r="W59" s="74">
        <f t="shared" si="50"/>
        <v>-0.201277955271566</v>
      </c>
      <c r="X59" s="97">
        <f t="shared" si="51"/>
        <v>0.5</v>
      </c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XCR59" s="13"/>
      <c r="XCS59" s="13"/>
      <c r="XCT59" s="13"/>
      <c r="XCU59" s="13"/>
      <c r="XCV59" s="13"/>
      <c r="XCW59" s="13"/>
      <c r="XCX59" s="13"/>
      <c r="XCY59" s="13"/>
      <c r="XCZ59" s="13"/>
      <c r="XDA59" s="13"/>
      <c r="XDB59" s="13"/>
      <c r="XDC59" s="13"/>
      <c r="XDD59" s="13"/>
      <c r="XDE59" s="13"/>
      <c r="XDF59" s="13"/>
      <c r="XDG59" s="13"/>
      <c r="XDH59" s="13"/>
      <c r="XDI59" s="13"/>
      <c r="XDJ59" s="13"/>
      <c r="XDK59" s="13"/>
      <c r="XDL59" s="13"/>
      <c r="XDM59" s="13"/>
      <c r="XDN59" s="13"/>
      <c r="XDO59" s="13"/>
      <c r="XDP59" s="13"/>
      <c r="XDQ59" s="13"/>
      <c r="XDR59" s="13"/>
      <c r="XDS59" s="13"/>
      <c r="XDT59" s="13"/>
      <c r="XDU59" s="13"/>
      <c r="XDV59" s="13"/>
      <c r="XDW59" s="13"/>
      <c r="XDX59" s="13"/>
      <c r="XDY59" s="13"/>
      <c r="XDZ59" s="13"/>
    </row>
    <row r="60" s="1" customFormat="1" ht="20.25" customHeight="1" outlineLevel="1" spans="1:16354">
      <c r="A60" s="30"/>
      <c r="B60" s="44" t="s">
        <v>171</v>
      </c>
      <c r="C60" s="45" t="s">
        <v>73</v>
      </c>
      <c r="D60" s="33"/>
      <c r="E60" s="33"/>
      <c r="F60" s="33"/>
      <c r="G60" s="43">
        <v>400000</v>
      </c>
      <c r="H60" s="33">
        <v>120000</v>
      </c>
      <c r="I60" s="62">
        <v>129999.8</v>
      </c>
      <c r="J60" s="76">
        <v>131000</v>
      </c>
      <c r="K60" s="82">
        <v>0</v>
      </c>
      <c r="L60" s="61">
        <f t="shared" si="46"/>
        <v>131000</v>
      </c>
      <c r="M60" s="82">
        <v>0</v>
      </c>
      <c r="N60" s="76">
        <f>I60-J60</f>
        <v>-1000.2</v>
      </c>
      <c r="O60" s="74">
        <f t="shared" si="34"/>
        <v>0.3275</v>
      </c>
      <c r="P60" s="61">
        <f t="shared" si="52"/>
        <v>1000.2</v>
      </c>
      <c r="Q60" s="33">
        <v>180</v>
      </c>
      <c r="R60" s="33">
        <v>80</v>
      </c>
      <c r="S60" s="82">
        <v>0</v>
      </c>
      <c r="T60" s="76">
        <v>26</v>
      </c>
      <c r="U60" s="46">
        <v>0</v>
      </c>
      <c r="V60" s="33">
        <f t="shared" si="49"/>
        <v>26</v>
      </c>
      <c r="W60" s="82">
        <v>0</v>
      </c>
      <c r="X60" s="97">
        <f t="shared" si="51"/>
        <v>0.144444444444444</v>
      </c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XCR60" s="13"/>
      <c r="XCS60" s="13"/>
      <c r="XCT60" s="13"/>
      <c r="XCU60" s="13"/>
      <c r="XCV60" s="13"/>
      <c r="XCW60" s="13"/>
      <c r="XCX60" s="13"/>
      <c r="XCY60" s="13"/>
      <c r="XCZ60" s="13"/>
      <c r="XDA60" s="13"/>
      <c r="XDB60" s="13"/>
      <c r="XDC60" s="13"/>
      <c r="XDD60" s="13"/>
      <c r="XDE60" s="13"/>
      <c r="XDF60" s="13"/>
      <c r="XDG60" s="13"/>
      <c r="XDH60" s="13"/>
      <c r="XDI60" s="13"/>
      <c r="XDJ60" s="13"/>
      <c r="XDK60" s="13"/>
      <c r="XDL60" s="13"/>
      <c r="XDM60" s="13"/>
      <c r="XDN60" s="13"/>
      <c r="XDO60" s="13"/>
      <c r="XDP60" s="13"/>
      <c r="XDQ60" s="13"/>
      <c r="XDR60" s="13"/>
      <c r="XDS60" s="13"/>
      <c r="XDT60" s="13"/>
      <c r="XDU60" s="13"/>
      <c r="XDV60" s="13"/>
      <c r="XDW60" s="13"/>
      <c r="XDX60" s="13"/>
      <c r="XDY60" s="13"/>
      <c r="XDZ60" s="13"/>
    </row>
    <row r="61" s="1" customFormat="1" ht="20.25" customHeight="1" outlineLevel="1" spans="1:16354">
      <c r="A61" s="30"/>
      <c r="B61" s="44"/>
      <c r="C61" s="45" t="s">
        <v>161</v>
      </c>
      <c r="D61" s="33"/>
      <c r="E61" s="33"/>
      <c r="F61" s="33"/>
      <c r="G61" s="43" t="s">
        <v>25</v>
      </c>
      <c r="H61" s="33" t="s">
        <v>25</v>
      </c>
      <c r="I61" s="62" t="s">
        <v>25</v>
      </c>
      <c r="J61" s="76">
        <f>J60-J62</f>
        <v>36000</v>
      </c>
      <c r="K61" s="82">
        <v>0</v>
      </c>
      <c r="L61" s="61">
        <f t="shared" si="46"/>
        <v>36000</v>
      </c>
      <c r="M61" s="82">
        <v>0</v>
      </c>
      <c r="N61" s="82"/>
      <c r="O61" s="74" t="s">
        <v>25</v>
      </c>
      <c r="P61" s="61" t="s">
        <v>25</v>
      </c>
      <c r="Q61" s="33" t="s">
        <v>25</v>
      </c>
      <c r="R61" s="33" t="s">
        <v>25</v>
      </c>
      <c r="S61" s="33" t="s">
        <v>25</v>
      </c>
      <c r="T61" s="76">
        <f>T60-T62</f>
        <v>151</v>
      </c>
      <c r="U61" s="46" t="s">
        <v>25</v>
      </c>
      <c r="V61" s="46"/>
      <c r="W61" s="82">
        <v>0</v>
      </c>
      <c r="X61" s="97" t="s">
        <v>25</v>
      </c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XCR61" s="13"/>
      <c r="XCS61" s="13"/>
      <c r="XCT61" s="13"/>
      <c r="XCU61" s="13"/>
      <c r="XCV61" s="13"/>
      <c r="XCW61" s="13"/>
      <c r="XCX61" s="13"/>
      <c r="XCY61" s="13"/>
      <c r="XCZ61" s="13"/>
      <c r="XDA61" s="13"/>
      <c r="XDB61" s="13"/>
      <c r="XDC61" s="13"/>
      <c r="XDD61" s="13"/>
      <c r="XDE61" s="13"/>
      <c r="XDF61" s="13"/>
      <c r="XDG61" s="13"/>
      <c r="XDH61" s="13"/>
      <c r="XDI61" s="13"/>
      <c r="XDJ61" s="13"/>
      <c r="XDK61" s="13"/>
      <c r="XDL61" s="13"/>
      <c r="XDM61" s="13"/>
      <c r="XDN61" s="13"/>
      <c r="XDO61" s="13"/>
      <c r="XDP61" s="13"/>
      <c r="XDQ61" s="13"/>
      <c r="XDR61" s="13"/>
      <c r="XDS61" s="13"/>
      <c r="XDT61" s="13"/>
      <c r="XDU61" s="13"/>
      <c r="XDV61" s="13"/>
      <c r="XDW61" s="13"/>
      <c r="XDX61" s="13"/>
      <c r="XDY61" s="13"/>
      <c r="XDZ61" s="13"/>
    </row>
    <row r="62" s="1" customFormat="1" ht="20.25" customHeight="1" outlineLevel="1" spans="1:16354">
      <c r="A62" s="30"/>
      <c r="B62" s="44"/>
      <c r="C62" s="45" t="s">
        <v>162</v>
      </c>
      <c r="D62" s="43"/>
      <c r="E62" s="33"/>
      <c r="F62" s="33"/>
      <c r="G62" s="62">
        <v>0</v>
      </c>
      <c r="H62" s="46">
        <v>0</v>
      </c>
      <c r="I62" s="62">
        <v>0</v>
      </c>
      <c r="J62" s="76">
        <f>95000</f>
        <v>95000</v>
      </c>
      <c r="K62" s="82">
        <v>0</v>
      </c>
      <c r="L62" s="61">
        <f t="shared" si="46"/>
        <v>95000</v>
      </c>
      <c r="M62" s="82">
        <v>0</v>
      </c>
      <c r="N62" s="82"/>
      <c r="O62" s="74" t="s">
        <v>25</v>
      </c>
      <c r="P62" s="61" t="s">
        <v>25</v>
      </c>
      <c r="Q62" s="33" t="s">
        <v>25</v>
      </c>
      <c r="R62" s="33" t="s">
        <v>25</v>
      </c>
      <c r="S62" s="33" t="s">
        <v>25</v>
      </c>
      <c r="T62" s="76">
        <v>-125</v>
      </c>
      <c r="U62" s="46" t="s">
        <v>25</v>
      </c>
      <c r="V62" s="46"/>
      <c r="W62" s="82">
        <v>0</v>
      </c>
      <c r="X62" s="97" t="s">
        <v>25</v>
      </c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XCR62" s="13"/>
      <c r="XCS62" s="13"/>
      <c r="XCT62" s="13"/>
      <c r="XCU62" s="13"/>
      <c r="XCV62" s="13"/>
      <c r="XCW62" s="13"/>
      <c r="XCX62" s="13"/>
      <c r="XCY62" s="13"/>
      <c r="XCZ62" s="13"/>
      <c r="XDA62" s="13"/>
      <c r="XDB62" s="13"/>
      <c r="XDC62" s="13"/>
      <c r="XDD62" s="13"/>
      <c r="XDE62" s="13"/>
      <c r="XDF62" s="13"/>
      <c r="XDG62" s="13"/>
      <c r="XDH62" s="13"/>
      <c r="XDI62" s="13"/>
      <c r="XDJ62" s="13"/>
      <c r="XDK62" s="13"/>
      <c r="XDL62" s="13"/>
      <c r="XDM62" s="13"/>
      <c r="XDN62" s="13"/>
      <c r="XDO62" s="13"/>
      <c r="XDP62" s="13"/>
      <c r="XDQ62" s="13"/>
      <c r="XDR62" s="13"/>
      <c r="XDS62" s="13"/>
      <c r="XDT62" s="13"/>
      <c r="XDU62" s="13"/>
      <c r="XDV62" s="13"/>
      <c r="XDW62" s="13"/>
      <c r="XDX62" s="13"/>
      <c r="XDY62" s="13"/>
      <c r="XDZ62" s="13"/>
    </row>
    <row r="63" s="1" customFormat="1" ht="20.25" customHeight="1" spans="1:16354">
      <c r="A63" s="30"/>
      <c r="B63" s="32">
        <v>22</v>
      </c>
      <c r="C63" s="45" t="s">
        <v>69</v>
      </c>
      <c r="D63" s="47" t="s">
        <v>192</v>
      </c>
      <c r="E63" s="43" t="s">
        <v>195</v>
      </c>
      <c r="F63" s="43" t="s">
        <v>154</v>
      </c>
      <c r="G63" s="43">
        <v>220000</v>
      </c>
      <c r="H63" s="33">
        <v>100000</v>
      </c>
      <c r="I63" s="43">
        <v>110000</v>
      </c>
      <c r="J63" s="77">
        <v>110569</v>
      </c>
      <c r="K63" s="61">
        <v>135398</v>
      </c>
      <c r="L63" s="61">
        <f t="shared" si="46"/>
        <v>-24829</v>
      </c>
      <c r="M63" s="74">
        <f t="shared" ref="M63:M82" si="53">J63/K63-1</f>
        <v>-0.18337789332191</v>
      </c>
      <c r="N63" s="76">
        <v>0</v>
      </c>
      <c r="O63" s="74">
        <f t="shared" ref="O63:O70" si="54">J63/G63</f>
        <v>0.502586363636364</v>
      </c>
      <c r="P63" s="61">
        <f t="shared" si="52"/>
        <v>569</v>
      </c>
      <c r="Q63" s="33">
        <v>7000</v>
      </c>
      <c r="R63" s="33">
        <v>3500</v>
      </c>
      <c r="S63" s="82">
        <v>0</v>
      </c>
      <c r="T63" s="62">
        <v>4197</v>
      </c>
      <c r="U63" s="46">
        <v>7630</v>
      </c>
      <c r="V63" s="33">
        <f t="shared" ref="V63:V65" si="55">T63-U63</f>
        <v>-3433</v>
      </c>
      <c r="W63" s="74">
        <f t="shared" ref="W63:W70" si="56">(T63-U63)/ABS(U63)</f>
        <v>-0.449934469200524</v>
      </c>
      <c r="X63" s="97">
        <f t="shared" si="51"/>
        <v>0.599571428571429</v>
      </c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XCR63" s="13"/>
      <c r="XCS63" s="13"/>
      <c r="XCT63" s="13"/>
      <c r="XCU63" s="13"/>
      <c r="XCV63" s="13"/>
      <c r="XCW63" s="13"/>
      <c r="XCX63" s="13"/>
      <c r="XCY63" s="13"/>
      <c r="XCZ63" s="13"/>
      <c r="XDA63" s="13"/>
      <c r="XDB63" s="13"/>
      <c r="XDC63" s="13"/>
      <c r="XDD63" s="13"/>
      <c r="XDE63" s="13"/>
      <c r="XDF63" s="13"/>
      <c r="XDG63" s="13"/>
      <c r="XDH63" s="13"/>
      <c r="XDI63" s="13"/>
      <c r="XDJ63" s="13"/>
      <c r="XDK63" s="13"/>
      <c r="XDL63" s="13"/>
      <c r="XDM63" s="13"/>
      <c r="XDN63" s="13"/>
      <c r="XDO63" s="13"/>
      <c r="XDP63" s="13"/>
      <c r="XDQ63" s="13"/>
      <c r="XDR63" s="13"/>
      <c r="XDS63" s="13"/>
      <c r="XDT63" s="13"/>
      <c r="XDU63" s="13"/>
      <c r="XDV63" s="13"/>
      <c r="XDW63" s="13"/>
      <c r="XDX63" s="13"/>
      <c r="XDY63" s="13"/>
      <c r="XDZ63" s="13"/>
    </row>
    <row r="64" s="1" customFormat="1" ht="20.25" customHeight="1" spans="1:16354">
      <c r="A64" s="30"/>
      <c r="B64" s="32">
        <v>23</v>
      </c>
      <c r="C64" s="45" t="s">
        <v>70</v>
      </c>
      <c r="D64" s="47" t="s">
        <v>192</v>
      </c>
      <c r="E64" s="43" t="s">
        <v>195</v>
      </c>
      <c r="F64" s="33" t="s">
        <v>154</v>
      </c>
      <c r="G64" s="43">
        <v>164000</v>
      </c>
      <c r="H64" s="33">
        <v>76000</v>
      </c>
      <c r="I64" s="43">
        <v>78000</v>
      </c>
      <c r="J64" s="76">
        <v>82020</v>
      </c>
      <c r="K64" s="61">
        <v>86102</v>
      </c>
      <c r="L64" s="61">
        <f t="shared" si="46"/>
        <v>-4082</v>
      </c>
      <c r="M64" s="74">
        <f t="shared" si="53"/>
        <v>-0.0474088871338645</v>
      </c>
      <c r="N64" s="76">
        <v>0</v>
      </c>
      <c r="O64" s="74">
        <f t="shared" si="54"/>
        <v>0.500121951219512</v>
      </c>
      <c r="P64" s="61">
        <f t="shared" si="52"/>
        <v>4020</v>
      </c>
      <c r="Q64" s="33">
        <v>3600</v>
      </c>
      <c r="R64" s="33">
        <v>1800</v>
      </c>
      <c r="S64" s="82">
        <v>0</v>
      </c>
      <c r="T64" s="76">
        <v>1857</v>
      </c>
      <c r="U64" s="46">
        <v>1791</v>
      </c>
      <c r="V64" s="33">
        <f t="shared" si="55"/>
        <v>66</v>
      </c>
      <c r="W64" s="74">
        <f t="shared" si="56"/>
        <v>0.0368509212730318</v>
      </c>
      <c r="X64" s="97">
        <f t="shared" si="51"/>
        <v>0.515833333333333</v>
      </c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XCR64" s="13"/>
      <c r="XCS64" s="13"/>
      <c r="XCT64" s="13"/>
      <c r="XCU64" s="13"/>
      <c r="XCV64" s="13"/>
      <c r="XCW64" s="13"/>
      <c r="XCX64" s="13"/>
      <c r="XCY64" s="13"/>
      <c r="XCZ64" s="13"/>
      <c r="XDA64" s="13"/>
      <c r="XDB64" s="13"/>
      <c r="XDC64" s="13"/>
      <c r="XDD64" s="13"/>
      <c r="XDE64" s="13"/>
      <c r="XDF64" s="13"/>
      <c r="XDG64" s="13"/>
      <c r="XDH64" s="13"/>
      <c r="XDI64" s="13"/>
      <c r="XDJ64" s="13"/>
      <c r="XDK64" s="13"/>
      <c r="XDL64" s="13"/>
      <c r="XDM64" s="13"/>
      <c r="XDN64" s="13"/>
      <c r="XDO64" s="13"/>
      <c r="XDP64" s="13"/>
      <c r="XDQ64" s="13"/>
      <c r="XDR64" s="13"/>
      <c r="XDS64" s="13"/>
      <c r="XDT64" s="13"/>
      <c r="XDU64" s="13"/>
      <c r="XDV64" s="13"/>
      <c r="XDW64" s="13"/>
      <c r="XDX64" s="13"/>
      <c r="XDY64" s="13"/>
      <c r="XDZ64" s="13"/>
    </row>
    <row r="65" s="1" customFormat="1" ht="20.25" customHeight="1" spans="1:16354">
      <c r="A65" s="30"/>
      <c r="B65" s="32">
        <v>24</v>
      </c>
      <c r="C65" s="41" t="s">
        <v>122</v>
      </c>
      <c r="D65" s="47" t="s">
        <v>192</v>
      </c>
      <c r="E65" s="43" t="s">
        <v>159</v>
      </c>
      <c r="F65" s="33" t="s">
        <v>154</v>
      </c>
      <c r="G65" s="43">
        <v>5600</v>
      </c>
      <c r="H65" s="33">
        <v>2300</v>
      </c>
      <c r="I65" s="78">
        <v>0</v>
      </c>
      <c r="J65" s="76">
        <v>2677</v>
      </c>
      <c r="K65" s="61">
        <v>1567</v>
      </c>
      <c r="L65" s="61">
        <f t="shared" si="46"/>
        <v>1110</v>
      </c>
      <c r="M65" s="74">
        <f t="shared" si="53"/>
        <v>0.708359923420549</v>
      </c>
      <c r="N65" s="76">
        <v>0</v>
      </c>
      <c r="O65" s="74">
        <f t="shared" si="54"/>
        <v>0.478035714285714</v>
      </c>
      <c r="P65" s="61"/>
      <c r="Q65" s="33">
        <v>100</v>
      </c>
      <c r="R65" s="33">
        <v>-300</v>
      </c>
      <c r="S65" s="82">
        <v>0</v>
      </c>
      <c r="T65" s="76">
        <v>-421</v>
      </c>
      <c r="U65" s="46">
        <v>-365</v>
      </c>
      <c r="V65" s="33">
        <f t="shared" si="55"/>
        <v>-56</v>
      </c>
      <c r="W65" s="74">
        <f t="shared" si="56"/>
        <v>-0.153424657534247</v>
      </c>
      <c r="X65" s="97">
        <f t="shared" si="51"/>
        <v>-4.21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XCR65" s="13"/>
      <c r="XCS65" s="13"/>
      <c r="XCT65" s="13"/>
      <c r="XCU65" s="13"/>
      <c r="XCV65" s="13"/>
      <c r="XCW65" s="13"/>
      <c r="XCX65" s="13"/>
      <c r="XCY65" s="13"/>
      <c r="XCZ65" s="13"/>
      <c r="XDA65" s="13"/>
      <c r="XDB65" s="13"/>
      <c r="XDC65" s="13"/>
      <c r="XDD65" s="13"/>
      <c r="XDE65" s="13"/>
      <c r="XDF65" s="13"/>
      <c r="XDG65" s="13"/>
      <c r="XDH65" s="13"/>
      <c r="XDI65" s="13"/>
      <c r="XDJ65" s="13"/>
      <c r="XDK65" s="13"/>
      <c r="XDL65" s="13"/>
      <c r="XDM65" s="13"/>
      <c r="XDN65" s="13"/>
      <c r="XDO65" s="13"/>
      <c r="XDP65" s="13"/>
      <c r="XDQ65" s="13"/>
      <c r="XDR65" s="13"/>
      <c r="XDS65" s="13"/>
      <c r="XDT65" s="13"/>
      <c r="XDU65" s="13"/>
      <c r="XDV65" s="13"/>
      <c r="XDW65" s="13"/>
      <c r="XDX65" s="13"/>
      <c r="XDY65" s="13"/>
      <c r="XDZ65" s="13"/>
    </row>
    <row r="66" s="3" customFormat="1" ht="21.95" customHeight="1" spans="1:16354">
      <c r="A66" s="30" t="s">
        <v>196</v>
      </c>
      <c r="B66" s="35"/>
      <c r="C66" s="36" t="s">
        <v>156</v>
      </c>
      <c r="D66" s="37"/>
      <c r="E66" s="38"/>
      <c r="F66" s="37"/>
      <c r="G66" s="37">
        <f t="shared" ref="G66:K66" si="57">SUM(G67:G75)-G71-G72</f>
        <v>165100</v>
      </c>
      <c r="H66" s="37">
        <f t="shared" si="57"/>
        <v>84590</v>
      </c>
      <c r="I66" s="80">
        <v>0</v>
      </c>
      <c r="J66" s="37">
        <f t="shared" si="57"/>
        <v>75856</v>
      </c>
      <c r="K66" s="37">
        <f t="shared" si="57"/>
        <v>109748</v>
      </c>
      <c r="L66" s="37"/>
      <c r="M66" s="75">
        <f t="shared" si="53"/>
        <v>-0.308816561577432</v>
      </c>
      <c r="N66" s="75"/>
      <c r="O66" s="67">
        <f t="shared" si="54"/>
        <v>0.459454875832829</v>
      </c>
      <c r="P66" s="81">
        <f>P70+P75</f>
        <v>-10609</v>
      </c>
      <c r="Q66" s="37">
        <f>SUM(Q67:Q75)-Q71-Q72</f>
        <v>9730</v>
      </c>
      <c r="R66" s="37">
        <f>SUM(R67:R75)-R71-R72</f>
        <v>5930</v>
      </c>
      <c r="S66" s="37" t="s">
        <v>25</v>
      </c>
      <c r="T66" s="39">
        <f>SUM(T67:T75)-T71-T72</f>
        <v>7032.4</v>
      </c>
      <c r="U66" s="37">
        <f>SUM(U67:U75)-U71-U72</f>
        <v>3203</v>
      </c>
      <c r="V66" s="91">
        <f t="shared" ref="V66:V70" si="58">T66-U66</f>
        <v>3829.4</v>
      </c>
      <c r="W66" s="75">
        <f t="shared" si="56"/>
        <v>1.19556665625976</v>
      </c>
      <c r="X66" s="128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XCR66" s="107"/>
      <c r="XCS66" s="107"/>
      <c r="XCT66" s="107"/>
      <c r="XCU66" s="107"/>
      <c r="XCV66" s="107"/>
      <c r="XCW66" s="107"/>
      <c r="XCX66" s="107"/>
      <c r="XCY66" s="107"/>
      <c r="XCZ66" s="107"/>
      <c r="XDA66" s="107"/>
      <c r="XDB66" s="107"/>
      <c r="XDC66" s="107"/>
      <c r="XDD66" s="107"/>
      <c r="XDE66" s="107"/>
      <c r="XDF66" s="107"/>
      <c r="XDG66" s="107"/>
      <c r="XDH66" s="107"/>
      <c r="XDI66" s="107"/>
      <c r="XDJ66" s="107"/>
      <c r="XDK66" s="107"/>
      <c r="XDL66" s="107"/>
      <c r="XDM66" s="107"/>
      <c r="XDN66" s="107"/>
      <c r="XDO66" s="107"/>
      <c r="XDP66" s="107"/>
      <c r="XDQ66" s="107"/>
      <c r="XDR66" s="107"/>
      <c r="XDS66" s="107"/>
      <c r="XDT66" s="107"/>
      <c r="XDU66" s="107"/>
      <c r="XDV66" s="107"/>
      <c r="XDW66" s="107"/>
      <c r="XDX66" s="107"/>
      <c r="XDY66" s="107"/>
      <c r="XDZ66" s="107"/>
    </row>
    <row r="67" s="1" customFormat="1" ht="18.4" customHeight="1" spans="1:16354">
      <c r="A67" s="30"/>
      <c r="B67" s="32">
        <v>25</v>
      </c>
      <c r="C67" s="41" t="s">
        <v>76</v>
      </c>
      <c r="D67" s="42" t="s">
        <v>197</v>
      </c>
      <c r="E67" s="43" t="s">
        <v>159</v>
      </c>
      <c r="F67" s="33" t="s">
        <v>154</v>
      </c>
      <c r="G67" s="43">
        <v>15000</v>
      </c>
      <c r="H67" s="33">
        <v>6000</v>
      </c>
      <c r="I67" s="78">
        <v>0</v>
      </c>
      <c r="J67" s="76">
        <v>6787</v>
      </c>
      <c r="K67" s="61">
        <v>4153</v>
      </c>
      <c r="L67" s="61">
        <f t="shared" ref="L67:L82" si="59">J67-K67</f>
        <v>2634</v>
      </c>
      <c r="M67" s="74">
        <f t="shared" si="53"/>
        <v>0.634240308210932</v>
      </c>
      <c r="N67" s="74"/>
      <c r="O67" s="74">
        <f t="shared" si="54"/>
        <v>0.452466666666667</v>
      </c>
      <c r="P67" s="61"/>
      <c r="Q67" s="33">
        <v>550</v>
      </c>
      <c r="R67" s="33">
        <v>-200</v>
      </c>
      <c r="S67" s="82">
        <v>0</v>
      </c>
      <c r="T67" s="76">
        <v>-221</v>
      </c>
      <c r="U67" s="46">
        <v>-186</v>
      </c>
      <c r="V67" s="33">
        <f t="shared" si="58"/>
        <v>-35</v>
      </c>
      <c r="W67" s="74">
        <f t="shared" si="56"/>
        <v>-0.188172043010753</v>
      </c>
      <c r="X67" s="97">
        <f t="shared" ref="X67:X75" si="60">T67/Q67</f>
        <v>-0.401818181818182</v>
      </c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XCR67" s="13"/>
      <c r="XCS67" s="13"/>
      <c r="XCT67" s="13"/>
      <c r="XCU67" s="13"/>
      <c r="XCV67" s="13"/>
      <c r="XCW67" s="13"/>
      <c r="XCX67" s="13"/>
      <c r="XCY67" s="13"/>
      <c r="XCZ67" s="13"/>
      <c r="XDA67" s="13"/>
      <c r="XDB67" s="13"/>
      <c r="XDC67" s="13"/>
      <c r="XDD67" s="13"/>
      <c r="XDE67" s="13"/>
      <c r="XDF67" s="13"/>
      <c r="XDG67" s="13"/>
      <c r="XDH67" s="13"/>
      <c r="XDI67" s="13"/>
      <c r="XDJ67" s="13"/>
      <c r="XDK67" s="13"/>
      <c r="XDL67" s="13"/>
      <c r="XDM67" s="13"/>
      <c r="XDN67" s="13"/>
      <c r="XDO67" s="13"/>
      <c r="XDP67" s="13"/>
      <c r="XDQ67" s="13"/>
      <c r="XDR67" s="13"/>
      <c r="XDS67" s="13"/>
      <c r="XDT67" s="13"/>
      <c r="XDU67" s="13"/>
      <c r="XDV67" s="13"/>
      <c r="XDW67" s="13"/>
      <c r="XDX67" s="13"/>
      <c r="XDY67" s="13"/>
      <c r="XDZ67" s="13"/>
    </row>
    <row r="68" s="1" customFormat="1" ht="18.4" customHeight="1" spans="1:16354">
      <c r="A68" s="30"/>
      <c r="B68" s="32">
        <v>26</v>
      </c>
      <c r="C68" s="45" t="s">
        <v>81</v>
      </c>
      <c r="D68" s="42" t="s">
        <v>197</v>
      </c>
      <c r="E68" s="33"/>
      <c r="F68" s="43" t="s">
        <v>154</v>
      </c>
      <c r="G68" s="43">
        <v>10000</v>
      </c>
      <c r="H68" s="33">
        <v>4000</v>
      </c>
      <c r="I68" s="78">
        <v>0</v>
      </c>
      <c r="J68" s="76">
        <v>4927</v>
      </c>
      <c r="K68" s="61">
        <v>7801</v>
      </c>
      <c r="L68" s="61">
        <f t="shared" si="59"/>
        <v>-2874</v>
      </c>
      <c r="M68" s="74">
        <f t="shared" si="53"/>
        <v>-0.368414305858223</v>
      </c>
      <c r="N68" s="74"/>
      <c r="O68" s="74">
        <f t="shared" si="54"/>
        <v>0.4927</v>
      </c>
      <c r="P68" s="61"/>
      <c r="Q68" s="33">
        <v>-400</v>
      </c>
      <c r="R68" s="33">
        <v>-150</v>
      </c>
      <c r="S68" s="82">
        <v>0</v>
      </c>
      <c r="T68" s="76">
        <v>-25</v>
      </c>
      <c r="U68" s="46">
        <v>37</v>
      </c>
      <c r="V68" s="33">
        <f t="shared" si="58"/>
        <v>-62</v>
      </c>
      <c r="W68" s="74">
        <f t="shared" si="56"/>
        <v>-1.67567567567568</v>
      </c>
      <c r="X68" s="97">
        <f>2-T68/Q68</f>
        <v>1.9375</v>
      </c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XCR68" s="13"/>
      <c r="XCS68" s="13"/>
      <c r="XCT68" s="13"/>
      <c r="XCU68" s="13"/>
      <c r="XCV68" s="13"/>
      <c r="XCW68" s="13"/>
      <c r="XCX68" s="13"/>
      <c r="XCY68" s="13"/>
      <c r="XCZ68" s="13"/>
      <c r="XDA68" s="13"/>
      <c r="XDB68" s="13"/>
      <c r="XDC68" s="13"/>
      <c r="XDD68" s="13"/>
      <c r="XDE68" s="13"/>
      <c r="XDF68" s="13"/>
      <c r="XDG68" s="13"/>
      <c r="XDH68" s="13"/>
      <c r="XDI68" s="13"/>
      <c r="XDJ68" s="13"/>
      <c r="XDK68" s="13"/>
      <c r="XDL68" s="13"/>
      <c r="XDM68" s="13"/>
      <c r="XDN68" s="13"/>
      <c r="XDO68" s="13"/>
      <c r="XDP68" s="13"/>
      <c r="XDQ68" s="13"/>
      <c r="XDR68" s="13"/>
      <c r="XDS68" s="13"/>
      <c r="XDT68" s="13"/>
      <c r="XDU68" s="13"/>
      <c r="XDV68" s="13"/>
      <c r="XDW68" s="13"/>
      <c r="XDX68" s="13"/>
      <c r="XDY68" s="13"/>
      <c r="XDZ68" s="13"/>
    </row>
    <row r="69" s="6" customFormat="1" ht="18.4" customHeight="1" spans="1:16356">
      <c r="A69" s="49"/>
      <c r="B69" s="50">
        <v>27</v>
      </c>
      <c r="C69" s="56" t="s">
        <v>82</v>
      </c>
      <c r="D69" s="42" t="s">
        <v>197</v>
      </c>
      <c r="E69" s="52"/>
      <c r="F69" s="52" t="s">
        <v>154</v>
      </c>
      <c r="G69" s="51">
        <v>3000</v>
      </c>
      <c r="H69" s="52">
        <v>1600</v>
      </c>
      <c r="I69" s="79">
        <v>0</v>
      </c>
      <c r="J69" s="76">
        <v>1611</v>
      </c>
      <c r="K69" s="61">
        <v>1201</v>
      </c>
      <c r="L69" s="61">
        <f t="shared" si="59"/>
        <v>410</v>
      </c>
      <c r="M69" s="74">
        <f t="shared" si="53"/>
        <v>0.341382181515404</v>
      </c>
      <c r="N69" s="74"/>
      <c r="O69" s="74">
        <f t="shared" si="54"/>
        <v>0.537</v>
      </c>
      <c r="P69" s="61"/>
      <c r="Q69" s="52">
        <v>180</v>
      </c>
      <c r="R69" s="52">
        <v>90</v>
      </c>
      <c r="S69" s="98">
        <v>0</v>
      </c>
      <c r="T69" s="76">
        <v>90</v>
      </c>
      <c r="U69" s="76">
        <v>66</v>
      </c>
      <c r="V69" s="33">
        <f t="shared" si="58"/>
        <v>24</v>
      </c>
      <c r="W69" s="74">
        <f t="shared" si="56"/>
        <v>0.363636363636364</v>
      </c>
      <c r="X69" s="97">
        <f t="shared" si="60"/>
        <v>0.5</v>
      </c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XCR69" s="108"/>
      <c r="XCS69" s="108"/>
      <c r="XCT69" s="108"/>
      <c r="XCU69" s="108"/>
      <c r="XCV69" s="108"/>
      <c r="XCW69" s="108"/>
      <c r="XCX69" s="108"/>
      <c r="XCY69" s="108"/>
      <c r="XCZ69" s="108"/>
      <c r="XDA69" s="108"/>
      <c r="XDB69" s="108"/>
      <c r="XDC69" s="108"/>
      <c r="XDD69" s="108"/>
      <c r="XDE69" s="108"/>
      <c r="XDF69" s="108"/>
      <c r="XDG69" s="108"/>
      <c r="XDH69" s="108"/>
      <c r="XDI69" s="108"/>
      <c r="XDJ69" s="108"/>
      <c r="XDK69" s="108"/>
      <c r="XDL69" s="108"/>
      <c r="XDM69" s="108"/>
      <c r="XDN69" s="108"/>
      <c r="XDO69" s="108"/>
      <c r="XDP69" s="108"/>
      <c r="XDQ69" s="108"/>
      <c r="XDR69" s="108"/>
      <c r="XDS69" s="108"/>
      <c r="XDT69" s="108"/>
      <c r="XDU69" s="108"/>
      <c r="XDV69" s="108"/>
      <c r="XDW69" s="108"/>
      <c r="XDX69" s="108"/>
      <c r="XDY69" s="108"/>
      <c r="XDZ69" s="108"/>
      <c r="XEB69" s="108"/>
    </row>
    <row r="70" s="1" customFormat="1" ht="18.4" customHeight="1" spans="1:16354">
      <c r="A70" s="30"/>
      <c r="B70" s="32">
        <v>28</v>
      </c>
      <c r="C70" s="41" t="s">
        <v>75</v>
      </c>
      <c r="D70" s="42" t="s">
        <v>197</v>
      </c>
      <c r="E70" s="43" t="s">
        <v>180</v>
      </c>
      <c r="F70" s="33" t="s">
        <v>154</v>
      </c>
      <c r="G70" s="43">
        <v>120000</v>
      </c>
      <c r="H70" s="33">
        <v>64000</v>
      </c>
      <c r="I70" s="78">
        <v>0</v>
      </c>
      <c r="J70" s="76">
        <v>53436</v>
      </c>
      <c r="K70" s="61">
        <v>87770</v>
      </c>
      <c r="L70" s="61">
        <f t="shared" si="59"/>
        <v>-34334</v>
      </c>
      <c r="M70" s="74">
        <f t="shared" si="53"/>
        <v>-0.391181497094679</v>
      </c>
      <c r="N70" s="74"/>
      <c r="O70" s="74">
        <f t="shared" si="54"/>
        <v>0.4453</v>
      </c>
      <c r="P70" s="61">
        <f>J70-H70</f>
        <v>-10564</v>
      </c>
      <c r="Q70" s="33">
        <v>400</v>
      </c>
      <c r="R70" s="33">
        <v>20</v>
      </c>
      <c r="S70" s="82">
        <v>0</v>
      </c>
      <c r="T70" s="76">
        <v>6</v>
      </c>
      <c r="U70" s="76">
        <v>249</v>
      </c>
      <c r="V70" s="33">
        <f t="shared" si="58"/>
        <v>-243</v>
      </c>
      <c r="W70" s="74">
        <f t="shared" si="56"/>
        <v>-0.975903614457831</v>
      </c>
      <c r="X70" s="97">
        <f t="shared" si="60"/>
        <v>0.015</v>
      </c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XCR70" s="13"/>
      <c r="XCS70" s="13"/>
      <c r="XCT70" s="13"/>
      <c r="XCU70" s="13"/>
      <c r="XCV70" s="13"/>
      <c r="XCW70" s="13"/>
      <c r="XCX70" s="13"/>
      <c r="XCY70" s="13"/>
      <c r="XCZ70" s="13"/>
      <c r="XDA70" s="13"/>
      <c r="XDB70" s="13"/>
      <c r="XDC70" s="13"/>
      <c r="XDD70" s="13"/>
      <c r="XDE70" s="13"/>
      <c r="XDF70" s="13"/>
      <c r="XDG70" s="13"/>
      <c r="XDH70" s="13"/>
      <c r="XDI70" s="13"/>
      <c r="XDJ70" s="13"/>
      <c r="XDK70" s="13"/>
      <c r="XDL70" s="13"/>
      <c r="XDM70" s="13"/>
      <c r="XDN70" s="13"/>
      <c r="XDO70" s="13"/>
      <c r="XDP70" s="13"/>
      <c r="XDQ70" s="13"/>
      <c r="XDR70" s="13"/>
      <c r="XDS70" s="13"/>
      <c r="XDT70" s="13"/>
      <c r="XDU70" s="13"/>
      <c r="XDV70" s="13"/>
      <c r="XDW70" s="13"/>
      <c r="XDX70" s="13"/>
      <c r="XDY70" s="13"/>
      <c r="XDZ70" s="13"/>
    </row>
    <row r="71" s="1" customFormat="1" ht="18.4" customHeight="1" spans="1:16354">
      <c r="A71" s="30"/>
      <c r="B71" s="32"/>
      <c r="C71" s="45" t="s">
        <v>161</v>
      </c>
      <c r="D71" s="33"/>
      <c r="E71" s="43"/>
      <c r="F71" s="33"/>
      <c r="G71" s="78">
        <v>0</v>
      </c>
      <c r="H71" s="78">
        <v>0</v>
      </c>
      <c r="I71" s="78">
        <v>0</v>
      </c>
      <c r="J71" s="76">
        <v>53522</v>
      </c>
      <c r="K71" s="46">
        <f>K70-K72</f>
        <v>47333</v>
      </c>
      <c r="L71" s="61">
        <f t="shared" si="59"/>
        <v>6189</v>
      </c>
      <c r="M71" s="74">
        <f t="shared" si="53"/>
        <v>0.13075444193269</v>
      </c>
      <c r="N71" s="74"/>
      <c r="O71" s="74" t="s">
        <v>25</v>
      </c>
      <c r="P71" s="78">
        <v>0</v>
      </c>
      <c r="Q71" s="78">
        <v>0</v>
      </c>
      <c r="R71" s="78">
        <v>0</v>
      </c>
      <c r="S71" s="78">
        <v>0</v>
      </c>
      <c r="T71" s="79">
        <v>0</v>
      </c>
      <c r="U71" s="82">
        <v>0</v>
      </c>
      <c r="V71" s="82"/>
      <c r="W71" s="78">
        <v>0</v>
      </c>
      <c r="X71" s="97" t="s">
        <v>25</v>
      </c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XCR71" s="13"/>
      <c r="XCS71" s="13"/>
      <c r="XCT71" s="13"/>
      <c r="XCU71" s="13"/>
      <c r="XCV71" s="13"/>
      <c r="XCW71" s="13"/>
      <c r="XCX71" s="13"/>
      <c r="XCY71" s="13"/>
      <c r="XCZ71" s="13"/>
      <c r="XDA71" s="13"/>
      <c r="XDB71" s="13"/>
      <c r="XDC71" s="13"/>
      <c r="XDD71" s="13"/>
      <c r="XDE71" s="13"/>
      <c r="XDF71" s="13"/>
      <c r="XDG71" s="13"/>
      <c r="XDH71" s="13"/>
      <c r="XDI71" s="13"/>
      <c r="XDJ71" s="13"/>
      <c r="XDK71" s="13"/>
      <c r="XDL71" s="13"/>
      <c r="XDM71" s="13"/>
      <c r="XDN71" s="13"/>
      <c r="XDO71" s="13"/>
      <c r="XDP71" s="13"/>
      <c r="XDQ71" s="13"/>
      <c r="XDR71" s="13"/>
      <c r="XDS71" s="13"/>
      <c r="XDT71" s="13"/>
      <c r="XDU71" s="13"/>
      <c r="XDV71" s="13"/>
      <c r="XDW71" s="13"/>
      <c r="XDX71" s="13"/>
      <c r="XDY71" s="13"/>
      <c r="XDZ71" s="13"/>
    </row>
    <row r="72" s="1" customFormat="1" ht="18.4" customHeight="1" spans="1:16354">
      <c r="A72" s="30"/>
      <c r="B72" s="32"/>
      <c r="C72" s="45" t="s">
        <v>162</v>
      </c>
      <c r="D72" s="43" t="s">
        <v>163</v>
      </c>
      <c r="E72" s="43"/>
      <c r="F72" s="33"/>
      <c r="G72" s="78">
        <v>0</v>
      </c>
      <c r="H72" s="78">
        <v>0</v>
      </c>
      <c r="I72" s="78">
        <v>0</v>
      </c>
      <c r="J72" s="76">
        <v>0</v>
      </c>
      <c r="K72" s="61">
        <v>40437</v>
      </c>
      <c r="L72" s="61">
        <f t="shared" si="59"/>
        <v>-40437</v>
      </c>
      <c r="M72" s="74">
        <f t="shared" si="53"/>
        <v>-1</v>
      </c>
      <c r="N72" s="74"/>
      <c r="O72" s="74" t="s">
        <v>25</v>
      </c>
      <c r="P72" s="78">
        <v>0</v>
      </c>
      <c r="Q72" s="78">
        <v>0</v>
      </c>
      <c r="R72" s="78">
        <v>0</v>
      </c>
      <c r="S72" s="78">
        <v>0</v>
      </c>
      <c r="T72" s="79">
        <v>0</v>
      </c>
      <c r="U72" s="82">
        <v>0</v>
      </c>
      <c r="V72" s="82"/>
      <c r="W72" s="78">
        <v>0</v>
      </c>
      <c r="X72" s="97" t="s">
        <v>25</v>
      </c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XCR72" s="13"/>
      <c r="XCS72" s="13"/>
      <c r="XCT72" s="13"/>
      <c r="XCU72" s="13"/>
      <c r="XCV72" s="13"/>
      <c r="XCW72" s="13"/>
      <c r="XCX72" s="13"/>
      <c r="XCY72" s="13"/>
      <c r="XCZ72" s="13"/>
      <c r="XDA72" s="13"/>
      <c r="XDB72" s="13"/>
      <c r="XDC72" s="13"/>
      <c r="XDD72" s="13"/>
      <c r="XDE72" s="13"/>
      <c r="XDF72" s="13"/>
      <c r="XDG72" s="13"/>
      <c r="XDH72" s="13"/>
      <c r="XDI72" s="13"/>
      <c r="XDJ72" s="13"/>
      <c r="XDK72" s="13"/>
      <c r="XDL72" s="13"/>
      <c r="XDM72" s="13"/>
      <c r="XDN72" s="13"/>
      <c r="XDO72" s="13"/>
      <c r="XDP72" s="13"/>
      <c r="XDQ72" s="13"/>
      <c r="XDR72" s="13"/>
      <c r="XDS72" s="13"/>
      <c r="XDT72" s="13"/>
      <c r="XDU72" s="13"/>
      <c r="XDV72" s="13"/>
      <c r="XDW72" s="13"/>
      <c r="XDX72" s="13"/>
      <c r="XDY72" s="13"/>
      <c r="XDZ72" s="13"/>
    </row>
    <row r="73" s="1" customFormat="1" ht="18.4" customHeight="1" spans="1:16354">
      <c r="A73" s="30"/>
      <c r="B73" s="32">
        <v>29</v>
      </c>
      <c r="C73" s="45" t="s">
        <v>84</v>
      </c>
      <c r="D73" s="42" t="s">
        <v>197</v>
      </c>
      <c r="E73" s="33"/>
      <c r="F73" s="33" t="s">
        <v>154</v>
      </c>
      <c r="G73" s="43">
        <v>500</v>
      </c>
      <c r="H73" s="33">
        <v>290</v>
      </c>
      <c r="I73" s="78">
        <v>0</v>
      </c>
      <c r="J73" s="76">
        <v>290</v>
      </c>
      <c r="K73" s="61">
        <v>338</v>
      </c>
      <c r="L73" s="61">
        <f t="shared" si="59"/>
        <v>-48</v>
      </c>
      <c r="M73" s="74">
        <f t="shared" si="53"/>
        <v>-0.142011834319527</v>
      </c>
      <c r="N73" s="74"/>
      <c r="O73" s="74">
        <f t="shared" ref="O73:O79" si="61">J73/G73</f>
        <v>0.58</v>
      </c>
      <c r="P73" s="61"/>
      <c r="Q73" s="33">
        <v>4100</v>
      </c>
      <c r="R73" s="33">
        <v>4100</v>
      </c>
      <c r="S73" s="82">
        <v>0</v>
      </c>
      <c r="T73" s="76">
        <v>4773</v>
      </c>
      <c r="U73" s="46">
        <v>282</v>
      </c>
      <c r="V73" s="33">
        <f t="shared" ref="V73:V75" si="62">T73-U73</f>
        <v>4491</v>
      </c>
      <c r="W73" s="74">
        <f t="shared" ref="W73:W82" si="63">(T73-U73)/ABS(U73)</f>
        <v>15.9255319148936</v>
      </c>
      <c r="X73" s="97">
        <f t="shared" si="60"/>
        <v>1.16414634146341</v>
      </c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XCR73" s="13"/>
      <c r="XCS73" s="13"/>
      <c r="XCT73" s="13"/>
      <c r="XCU73" s="13"/>
      <c r="XCV73" s="13"/>
      <c r="XCW73" s="13"/>
      <c r="XCX73" s="13"/>
      <c r="XCY73" s="13"/>
      <c r="XCZ73" s="13"/>
      <c r="XDA73" s="13"/>
      <c r="XDB73" s="13"/>
      <c r="XDC73" s="13"/>
      <c r="XDD73" s="13"/>
      <c r="XDE73" s="13"/>
      <c r="XDF73" s="13"/>
      <c r="XDG73" s="13"/>
      <c r="XDH73" s="13"/>
      <c r="XDI73" s="13"/>
      <c r="XDJ73" s="13"/>
      <c r="XDK73" s="13"/>
      <c r="XDL73" s="13"/>
      <c r="XDM73" s="13"/>
      <c r="XDN73" s="13"/>
      <c r="XDO73" s="13"/>
      <c r="XDP73" s="13"/>
      <c r="XDQ73" s="13"/>
      <c r="XDR73" s="13"/>
      <c r="XDS73" s="13"/>
      <c r="XDT73" s="13"/>
      <c r="XDU73" s="13"/>
      <c r="XDV73" s="13"/>
      <c r="XDW73" s="13"/>
      <c r="XDX73" s="13"/>
      <c r="XDY73" s="13"/>
      <c r="XDZ73" s="13"/>
    </row>
    <row r="74" s="1" customFormat="1" ht="18.4" customHeight="1" spans="1:16354">
      <c r="A74" s="30"/>
      <c r="B74" s="32">
        <v>30</v>
      </c>
      <c r="C74" s="45" t="s">
        <v>83</v>
      </c>
      <c r="D74" s="42" t="s">
        <v>197</v>
      </c>
      <c r="E74" s="33"/>
      <c r="F74" s="33" t="s">
        <v>154</v>
      </c>
      <c r="G74" s="43">
        <v>7500</v>
      </c>
      <c r="H74" s="33">
        <v>4400</v>
      </c>
      <c r="I74" s="78">
        <v>0</v>
      </c>
      <c r="J74" s="76">
        <v>4550</v>
      </c>
      <c r="K74" s="61">
        <v>3982</v>
      </c>
      <c r="L74" s="61">
        <f t="shared" si="59"/>
        <v>568</v>
      </c>
      <c r="M74" s="74">
        <f t="shared" si="53"/>
        <v>0.142641888498242</v>
      </c>
      <c r="N74" s="74"/>
      <c r="O74" s="74">
        <f t="shared" si="61"/>
        <v>0.606666666666667</v>
      </c>
      <c r="P74" s="61"/>
      <c r="Q74" s="33">
        <v>500</v>
      </c>
      <c r="R74" s="33">
        <v>300</v>
      </c>
      <c r="S74" s="82">
        <v>0</v>
      </c>
      <c r="T74" s="76">
        <v>480</v>
      </c>
      <c r="U74" s="46">
        <v>306</v>
      </c>
      <c r="V74" s="33">
        <f t="shared" si="62"/>
        <v>174</v>
      </c>
      <c r="W74" s="74">
        <f t="shared" si="63"/>
        <v>0.568627450980392</v>
      </c>
      <c r="X74" s="97">
        <f t="shared" si="60"/>
        <v>0.96</v>
      </c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XCR74" s="13"/>
      <c r="XCS74" s="13"/>
      <c r="XCT74" s="13"/>
      <c r="XCU74" s="13"/>
      <c r="XCV74" s="13"/>
      <c r="XCW74" s="13"/>
      <c r="XCX74" s="13"/>
      <c r="XCY74" s="13"/>
      <c r="XCZ74" s="13"/>
      <c r="XDA74" s="13"/>
      <c r="XDB74" s="13"/>
      <c r="XDC74" s="13"/>
      <c r="XDD74" s="13"/>
      <c r="XDE74" s="13"/>
      <c r="XDF74" s="13"/>
      <c r="XDG74" s="13"/>
      <c r="XDH74" s="13"/>
      <c r="XDI74" s="13"/>
      <c r="XDJ74" s="13"/>
      <c r="XDK74" s="13"/>
      <c r="XDL74" s="13"/>
      <c r="XDM74" s="13"/>
      <c r="XDN74" s="13"/>
      <c r="XDO74" s="13"/>
      <c r="XDP74" s="13"/>
      <c r="XDQ74" s="13"/>
      <c r="XDR74" s="13"/>
      <c r="XDS74" s="13"/>
      <c r="XDT74" s="13"/>
      <c r="XDU74" s="13"/>
      <c r="XDV74" s="13"/>
      <c r="XDW74" s="13"/>
      <c r="XDX74" s="13"/>
      <c r="XDY74" s="13"/>
      <c r="XDZ74" s="13"/>
    </row>
    <row r="75" s="1" customFormat="1" ht="18.4" customHeight="1" spans="1:16354">
      <c r="A75" s="30"/>
      <c r="B75" s="32">
        <v>31</v>
      </c>
      <c r="C75" s="31" t="s">
        <v>77</v>
      </c>
      <c r="D75" s="42" t="s">
        <v>197</v>
      </c>
      <c r="E75" s="110"/>
      <c r="F75" s="110" t="s">
        <v>154</v>
      </c>
      <c r="G75" s="43">
        <v>9100</v>
      </c>
      <c r="H75" s="33">
        <v>4300</v>
      </c>
      <c r="I75" s="78">
        <v>0</v>
      </c>
      <c r="J75" s="52">
        <f>J76+J77+J78</f>
        <v>4255</v>
      </c>
      <c r="K75" s="33">
        <f>K76+K77+K78</f>
        <v>4503</v>
      </c>
      <c r="L75" s="61">
        <f t="shared" si="59"/>
        <v>-248</v>
      </c>
      <c r="M75" s="74">
        <f t="shared" si="53"/>
        <v>-0.0550743948478792</v>
      </c>
      <c r="N75" s="74"/>
      <c r="O75" s="74">
        <f t="shared" si="61"/>
        <v>0.467582417582418</v>
      </c>
      <c r="P75" s="61">
        <f>J75-H75</f>
        <v>-45</v>
      </c>
      <c r="Q75" s="33">
        <v>4400</v>
      </c>
      <c r="R75" s="33">
        <v>1770</v>
      </c>
      <c r="S75" s="82">
        <v>0</v>
      </c>
      <c r="T75" s="76">
        <f>T76+T77+T78</f>
        <v>1929.4</v>
      </c>
      <c r="U75" s="46">
        <f>U76+U77+U78</f>
        <v>2449</v>
      </c>
      <c r="V75" s="33">
        <f t="shared" si="62"/>
        <v>-519.6</v>
      </c>
      <c r="W75" s="74">
        <f t="shared" si="63"/>
        <v>-0.212168231931401</v>
      </c>
      <c r="X75" s="97">
        <f t="shared" si="60"/>
        <v>0.4385</v>
      </c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XCR75" s="13"/>
      <c r="XCS75" s="13"/>
      <c r="XCT75" s="13"/>
      <c r="XCU75" s="13"/>
      <c r="XCV75" s="13"/>
      <c r="XCW75" s="13"/>
      <c r="XCX75" s="13"/>
      <c r="XCY75" s="13"/>
      <c r="XCZ75" s="13"/>
      <c r="XDA75" s="13"/>
      <c r="XDB75" s="13"/>
      <c r="XDC75" s="13"/>
      <c r="XDD75" s="13"/>
      <c r="XDE75" s="13"/>
      <c r="XDF75" s="13"/>
      <c r="XDG75" s="13"/>
      <c r="XDH75" s="13"/>
      <c r="XDI75" s="13"/>
      <c r="XDJ75" s="13"/>
      <c r="XDK75" s="13"/>
      <c r="XDL75" s="13"/>
      <c r="XDM75" s="13"/>
      <c r="XDN75" s="13"/>
      <c r="XDO75" s="13"/>
      <c r="XDP75" s="13"/>
      <c r="XDQ75" s="13"/>
      <c r="XDR75" s="13"/>
      <c r="XDS75" s="13"/>
      <c r="XDT75" s="13"/>
      <c r="XDU75" s="13"/>
      <c r="XDV75" s="13"/>
      <c r="XDW75" s="13"/>
      <c r="XDX75" s="13"/>
      <c r="XDY75" s="13"/>
      <c r="XDZ75" s="13"/>
    </row>
    <row r="76" s="1" customFormat="1" hidden="1" outlineLevel="1" spans="1:16354">
      <c r="A76" s="30"/>
      <c r="B76" s="32"/>
      <c r="C76" s="48" t="s">
        <v>198</v>
      </c>
      <c r="D76" s="33"/>
      <c r="E76" s="111"/>
      <c r="F76" s="111"/>
      <c r="G76" s="111">
        <v>5100</v>
      </c>
      <c r="H76" s="78">
        <v>0</v>
      </c>
      <c r="I76" s="78">
        <v>0</v>
      </c>
      <c r="J76" s="76">
        <v>2476</v>
      </c>
      <c r="K76" s="46">
        <v>2435</v>
      </c>
      <c r="L76" s="61">
        <f t="shared" si="59"/>
        <v>41</v>
      </c>
      <c r="M76" s="74">
        <f t="shared" si="53"/>
        <v>0.0168377823408625</v>
      </c>
      <c r="N76" s="74"/>
      <c r="O76" s="74">
        <f t="shared" si="61"/>
        <v>0.485490196078431</v>
      </c>
      <c r="P76" s="121"/>
      <c r="Q76" s="129">
        <v>2500</v>
      </c>
      <c r="R76" s="78">
        <v>0</v>
      </c>
      <c r="S76" s="78">
        <v>0</v>
      </c>
      <c r="T76" s="52">
        <v>969</v>
      </c>
      <c r="U76" s="129">
        <v>1152</v>
      </c>
      <c r="V76" s="129"/>
      <c r="W76" s="74">
        <f t="shared" si="63"/>
        <v>-0.158854166666667</v>
      </c>
      <c r="X76" s="10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XCR76" s="13"/>
      <c r="XCS76" s="13"/>
      <c r="XCT76" s="13"/>
      <c r="XCU76" s="13"/>
      <c r="XCV76" s="13"/>
      <c r="XCW76" s="13"/>
      <c r="XCX76" s="13"/>
      <c r="XCY76" s="13"/>
      <c r="XCZ76" s="13"/>
      <c r="XDA76" s="13"/>
      <c r="XDB76" s="13"/>
      <c r="XDC76" s="13"/>
      <c r="XDD76" s="13"/>
      <c r="XDE76" s="13"/>
      <c r="XDF76" s="13"/>
      <c r="XDG76" s="13"/>
      <c r="XDH76" s="13"/>
      <c r="XDI76" s="13"/>
      <c r="XDJ76" s="13"/>
      <c r="XDK76" s="13"/>
      <c r="XDL76" s="13"/>
      <c r="XDM76" s="13"/>
      <c r="XDN76" s="13"/>
      <c r="XDO76" s="13"/>
      <c r="XDP76" s="13"/>
      <c r="XDQ76" s="13"/>
      <c r="XDR76" s="13"/>
      <c r="XDS76" s="13"/>
      <c r="XDT76" s="13"/>
      <c r="XDU76" s="13"/>
      <c r="XDV76" s="13"/>
      <c r="XDW76" s="13"/>
      <c r="XDX76" s="13"/>
      <c r="XDY76" s="13"/>
      <c r="XDZ76" s="13"/>
    </row>
    <row r="77" s="1" customFormat="1" hidden="1" outlineLevel="1" spans="1:16354">
      <c r="A77" s="30"/>
      <c r="B77" s="32"/>
      <c r="C77" s="48" t="s">
        <v>199</v>
      </c>
      <c r="D77" s="33"/>
      <c r="E77" s="111"/>
      <c r="F77" s="111"/>
      <c r="G77" s="111">
        <v>400</v>
      </c>
      <c r="H77" s="78">
        <v>0</v>
      </c>
      <c r="I77" s="78">
        <v>0</v>
      </c>
      <c r="J77" s="76">
        <v>203</v>
      </c>
      <c r="K77" s="46">
        <v>203</v>
      </c>
      <c r="L77" s="61">
        <f t="shared" si="59"/>
        <v>0</v>
      </c>
      <c r="M77" s="74">
        <f t="shared" si="53"/>
        <v>0</v>
      </c>
      <c r="N77" s="74"/>
      <c r="O77" s="74">
        <f t="shared" si="61"/>
        <v>0.5075</v>
      </c>
      <c r="P77" s="121"/>
      <c r="Q77" s="129">
        <v>-400</v>
      </c>
      <c r="R77" s="78">
        <v>0</v>
      </c>
      <c r="S77" s="78">
        <v>0</v>
      </c>
      <c r="T77" s="52">
        <f>154-62</f>
        <v>92</v>
      </c>
      <c r="U77" s="129">
        <v>42</v>
      </c>
      <c r="V77" s="129"/>
      <c r="W77" s="74">
        <f t="shared" si="63"/>
        <v>1.19047619047619</v>
      </c>
      <c r="X77" s="10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XCR77" s="13"/>
      <c r="XCS77" s="13"/>
      <c r="XCT77" s="13"/>
      <c r="XCU77" s="13"/>
      <c r="XCV77" s="13"/>
      <c r="XCW77" s="13"/>
      <c r="XCX77" s="13"/>
      <c r="XCY77" s="13"/>
      <c r="XCZ77" s="13"/>
      <c r="XDA77" s="13"/>
      <c r="XDB77" s="13"/>
      <c r="XDC77" s="13"/>
      <c r="XDD77" s="13"/>
      <c r="XDE77" s="13"/>
      <c r="XDF77" s="13"/>
      <c r="XDG77" s="13"/>
      <c r="XDH77" s="13"/>
      <c r="XDI77" s="13"/>
      <c r="XDJ77" s="13"/>
      <c r="XDK77" s="13"/>
      <c r="XDL77" s="13"/>
      <c r="XDM77" s="13"/>
      <c r="XDN77" s="13"/>
      <c r="XDO77" s="13"/>
      <c r="XDP77" s="13"/>
      <c r="XDQ77" s="13"/>
      <c r="XDR77" s="13"/>
      <c r="XDS77" s="13"/>
      <c r="XDT77" s="13"/>
      <c r="XDU77" s="13"/>
      <c r="XDV77" s="13"/>
      <c r="XDW77" s="13"/>
      <c r="XDX77" s="13"/>
      <c r="XDY77" s="13"/>
      <c r="XDZ77" s="13"/>
    </row>
    <row r="78" s="1" customFormat="1" hidden="1" outlineLevel="1" spans="1:16354">
      <c r="A78" s="30"/>
      <c r="B78" s="32"/>
      <c r="C78" s="56" t="s">
        <v>200</v>
      </c>
      <c r="D78" s="33"/>
      <c r="E78" s="111"/>
      <c r="F78" s="111"/>
      <c r="G78" s="111">
        <v>3600</v>
      </c>
      <c r="H78" s="78">
        <v>0</v>
      </c>
      <c r="I78" s="78">
        <v>0</v>
      </c>
      <c r="J78" s="76">
        <v>1576</v>
      </c>
      <c r="K78" s="46">
        <v>1865</v>
      </c>
      <c r="L78" s="61">
        <f t="shared" si="59"/>
        <v>-289</v>
      </c>
      <c r="M78" s="74">
        <f t="shared" si="53"/>
        <v>-0.154959785522788</v>
      </c>
      <c r="N78" s="74"/>
      <c r="O78" s="74">
        <f t="shared" si="61"/>
        <v>0.437777777777778</v>
      </c>
      <c r="P78" s="121"/>
      <c r="Q78" s="129">
        <v>2300</v>
      </c>
      <c r="R78" s="78">
        <v>0</v>
      </c>
      <c r="S78" s="78">
        <v>0</v>
      </c>
      <c r="T78" s="76">
        <v>868.4</v>
      </c>
      <c r="U78" s="129">
        <v>1255</v>
      </c>
      <c r="V78" s="129"/>
      <c r="W78" s="74">
        <f t="shared" si="63"/>
        <v>-0.30804780876494</v>
      </c>
      <c r="X78" s="10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XCR78" s="13"/>
      <c r="XCS78" s="13"/>
      <c r="XCT78" s="13"/>
      <c r="XCU78" s="13"/>
      <c r="XCV78" s="13"/>
      <c r="XCW78" s="13"/>
      <c r="XCX78" s="13"/>
      <c r="XCY78" s="13"/>
      <c r="XCZ78" s="13"/>
      <c r="XDA78" s="13"/>
      <c r="XDB78" s="13"/>
      <c r="XDC78" s="13"/>
      <c r="XDD78" s="13"/>
      <c r="XDE78" s="13"/>
      <c r="XDF78" s="13"/>
      <c r="XDG78" s="13"/>
      <c r="XDH78" s="13"/>
      <c r="XDI78" s="13"/>
      <c r="XDJ78" s="13"/>
      <c r="XDK78" s="13"/>
      <c r="XDL78" s="13"/>
      <c r="XDM78" s="13"/>
      <c r="XDN78" s="13"/>
      <c r="XDO78" s="13"/>
      <c r="XDP78" s="13"/>
      <c r="XDQ78" s="13"/>
      <c r="XDR78" s="13"/>
      <c r="XDS78" s="13"/>
      <c r="XDT78" s="13"/>
      <c r="XDU78" s="13"/>
      <c r="XDV78" s="13"/>
      <c r="XDW78" s="13"/>
      <c r="XDX78" s="13"/>
      <c r="XDY78" s="13"/>
      <c r="XDZ78" s="13"/>
    </row>
    <row r="79" s="1" customFormat="1" hidden="1" outlineLevel="1" spans="1:16354">
      <c r="A79" s="30"/>
      <c r="B79" s="32"/>
      <c r="C79" s="56" t="s">
        <v>201</v>
      </c>
      <c r="D79" s="33"/>
      <c r="E79" s="111"/>
      <c r="F79" s="111" t="s">
        <v>154</v>
      </c>
      <c r="G79" s="43">
        <f>VLOOKUP(C79,[1]年度经营计划、预算、预计!$B$1:$K$65536,10,0)</f>
        <v>5000</v>
      </c>
      <c r="H79" s="111">
        <v>3000</v>
      </c>
      <c r="I79" s="121"/>
      <c r="J79" s="76">
        <v>2929</v>
      </c>
      <c r="K79" s="46">
        <v>3050</v>
      </c>
      <c r="L79" s="61">
        <f t="shared" si="59"/>
        <v>-121</v>
      </c>
      <c r="M79" s="74">
        <f t="shared" si="53"/>
        <v>-0.039672131147541</v>
      </c>
      <c r="N79" s="74"/>
      <c r="O79" s="74">
        <f t="shared" si="61"/>
        <v>0.5858</v>
      </c>
      <c r="P79" s="121"/>
      <c r="Q79" s="121"/>
      <c r="R79" s="129">
        <v>15</v>
      </c>
      <c r="S79" s="33"/>
      <c r="T79" s="52">
        <v>26</v>
      </c>
      <c r="U79" s="129">
        <v>13</v>
      </c>
      <c r="V79" s="129"/>
      <c r="W79" s="74">
        <f t="shared" si="63"/>
        <v>1</v>
      </c>
      <c r="X79" s="10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XCR79" s="13"/>
      <c r="XCS79" s="13"/>
      <c r="XCT79" s="13"/>
      <c r="XCU79" s="13"/>
      <c r="XCV79" s="13"/>
      <c r="XCW79" s="13"/>
      <c r="XCX79" s="13"/>
      <c r="XCY79" s="13"/>
      <c r="XCZ79" s="13"/>
      <c r="XDA79" s="13"/>
      <c r="XDB79" s="13"/>
      <c r="XDC79" s="13"/>
      <c r="XDD79" s="13"/>
      <c r="XDE79" s="13"/>
      <c r="XDF79" s="13"/>
      <c r="XDG79" s="13"/>
      <c r="XDH79" s="13"/>
      <c r="XDI79" s="13"/>
      <c r="XDJ79" s="13"/>
      <c r="XDK79" s="13"/>
      <c r="XDL79" s="13"/>
      <c r="XDM79" s="13"/>
      <c r="XDN79" s="13"/>
      <c r="XDO79" s="13"/>
      <c r="XDP79" s="13"/>
      <c r="XDQ79" s="13"/>
      <c r="XDR79" s="13"/>
      <c r="XDS79" s="13"/>
      <c r="XDT79" s="13"/>
      <c r="XDU79" s="13"/>
      <c r="XDV79" s="13"/>
      <c r="XDW79" s="13"/>
      <c r="XDX79" s="13"/>
      <c r="XDY79" s="13"/>
      <c r="XDZ79" s="13"/>
    </row>
    <row r="80" s="1" customFormat="1" hidden="1" outlineLevel="1" spans="1:16354">
      <c r="A80" s="30"/>
      <c r="B80" s="32"/>
      <c r="C80" s="45" t="s">
        <v>202</v>
      </c>
      <c r="D80" s="33"/>
      <c r="E80" s="111"/>
      <c r="F80" s="111" t="s">
        <v>154</v>
      </c>
      <c r="G80" s="43"/>
      <c r="H80" s="111">
        <v>211</v>
      </c>
      <c r="I80" s="121"/>
      <c r="J80" s="76">
        <v>209</v>
      </c>
      <c r="K80" s="46">
        <v>206</v>
      </c>
      <c r="L80" s="61">
        <f t="shared" si="59"/>
        <v>3</v>
      </c>
      <c r="M80" s="74">
        <f t="shared" si="53"/>
        <v>0.0145631067961165</v>
      </c>
      <c r="N80" s="74"/>
      <c r="O80" s="74" t="s">
        <v>25</v>
      </c>
      <c r="P80" s="121"/>
      <c r="Q80" s="121"/>
      <c r="R80" s="129">
        <v>-27</v>
      </c>
      <c r="S80" s="33"/>
      <c r="T80" s="52">
        <v>10</v>
      </c>
      <c r="U80" s="129">
        <v>-7</v>
      </c>
      <c r="V80" s="129"/>
      <c r="W80" s="74">
        <f t="shared" si="63"/>
        <v>2.42857142857143</v>
      </c>
      <c r="X80" s="10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XCR80" s="13"/>
      <c r="XCS80" s="13"/>
      <c r="XCT80" s="13"/>
      <c r="XCU80" s="13"/>
      <c r="XCV80" s="13"/>
      <c r="XCW80" s="13"/>
      <c r="XCX80" s="13"/>
      <c r="XCY80" s="13"/>
      <c r="XCZ80" s="13"/>
      <c r="XDA80" s="13"/>
      <c r="XDB80" s="13"/>
      <c r="XDC80" s="13"/>
      <c r="XDD80" s="13"/>
      <c r="XDE80" s="13"/>
      <c r="XDF80" s="13"/>
      <c r="XDG80" s="13"/>
      <c r="XDH80" s="13"/>
      <c r="XDI80" s="13"/>
      <c r="XDJ80" s="13"/>
      <c r="XDK80" s="13"/>
      <c r="XDL80" s="13"/>
      <c r="XDM80" s="13"/>
      <c r="XDN80" s="13"/>
      <c r="XDO80" s="13"/>
      <c r="XDP80" s="13"/>
      <c r="XDQ80" s="13"/>
      <c r="XDR80" s="13"/>
      <c r="XDS80" s="13"/>
      <c r="XDT80" s="13"/>
      <c r="XDU80" s="13"/>
      <c r="XDV80" s="13"/>
      <c r="XDW80" s="13"/>
      <c r="XDX80" s="13"/>
      <c r="XDY80" s="13"/>
      <c r="XDZ80" s="13"/>
    </row>
    <row r="81" s="1" customFormat="1" hidden="1" outlineLevel="1" spans="1:16354">
      <c r="A81" s="30"/>
      <c r="B81" s="32"/>
      <c r="C81" s="45" t="s">
        <v>203</v>
      </c>
      <c r="D81" s="33"/>
      <c r="E81" s="111"/>
      <c r="F81" s="111" t="s">
        <v>154</v>
      </c>
      <c r="G81" s="43"/>
      <c r="H81" s="111">
        <v>137</v>
      </c>
      <c r="I81" s="121"/>
      <c r="J81" s="76">
        <v>137</v>
      </c>
      <c r="K81" s="46">
        <v>125</v>
      </c>
      <c r="L81" s="61">
        <f t="shared" si="59"/>
        <v>12</v>
      </c>
      <c r="M81" s="74">
        <f t="shared" si="53"/>
        <v>0.0960000000000001</v>
      </c>
      <c r="N81" s="74"/>
      <c r="O81" s="74" t="s">
        <v>25</v>
      </c>
      <c r="P81" s="121"/>
      <c r="Q81" s="121"/>
      <c r="R81" s="129">
        <v>-20</v>
      </c>
      <c r="S81" s="33"/>
      <c r="T81" s="52">
        <v>-31</v>
      </c>
      <c r="U81" s="129">
        <v>-48</v>
      </c>
      <c r="V81" s="129"/>
      <c r="W81" s="74">
        <f t="shared" si="63"/>
        <v>0.354166666666667</v>
      </c>
      <c r="X81" s="10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XCR81" s="13"/>
      <c r="XCS81" s="13"/>
      <c r="XCT81" s="13"/>
      <c r="XCU81" s="13"/>
      <c r="XCV81" s="13"/>
      <c r="XCW81" s="13"/>
      <c r="XCX81" s="13"/>
      <c r="XCY81" s="13"/>
      <c r="XCZ81" s="13"/>
      <c r="XDA81" s="13"/>
      <c r="XDB81" s="13"/>
      <c r="XDC81" s="13"/>
      <c r="XDD81" s="13"/>
      <c r="XDE81" s="13"/>
      <c r="XDF81" s="13"/>
      <c r="XDG81" s="13"/>
      <c r="XDH81" s="13"/>
      <c r="XDI81" s="13"/>
      <c r="XDJ81" s="13"/>
      <c r="XDK81" s="13"/>
      <c r="XDL81" s="13"/>
      <c r="XDM81" s="13"/>
      <c r="XDN81" s="13"/>
      <c r="XDO81" s="13"/>
      <c r="XDP81" s="13"/>
      <c r="XDQ81" s="13"/>
      <c r="XDR81" s="13"/>
      <c r="XDS81" s="13"/>
      <c r="XDT81" s="13"/>
      <c r="XDU81" s="13"/>
      <c r="XDV81" s="13"/>
      <c r="XDW81" s="13"/>
      <c r="XDX81" s="13"/>
      <c r="XDY81" s="13"/>
      <c r="XDZ81" s="13"/>
    </row>
    <row r="82" s="6" customFormat="1" hidden="1" outlineLevel="1" spans="1:16356">
      <c r="A82" s="49"/>
      <c r="B82" s="50"/>
      <c r="C82" s="45" t="s">
        <v>204</v>
      </c>
      <c r="D82" s="52"/>
      <c r="E82" s="112"/>
      <c r="F82" s="112" t="s">
        <v>154</v>
      </c>
      <c r="G82" s="51"/>
      <c r="H82" s="112">
        <v>1700</v>
      </c>
      <c r="I82" s="122"/>
      <c r="J82" s="76">
        <v>1772</v>
      </c>
      <c r="K82" s="76">
        <v>2999</v>
      </c>
      <c r="L82" s="61">
        <f t="shared" si="59"/>
        <v>-1227</v>
      </c>
      <c r="M82" s="74">
        <f t="shared" si="53"/>
        <v>-0.409136378792931</v>
      </c>
      <c r="N82" s="74"/>
      <c r="O82" s="74" t="s">
        <v>25</v>
      </c>
      <c r="P82" s="122"/>
      <c r="Q82" s="122"/>
      <c r="R82" s="130">
        <v>30</v>
      </c>
      <c r="S82" s="52"/>
      <c r="T82" s="52">
        <v>30</v>
      </c>
      <c r="U82" s="130">
        <v>45</v>
      </c>
      <c r="V82" s="130"/>
      <c r="W82" s="74">
        <f t="shared" si="63"/>
        <v>-0.333333333333333</v>
      </c>
      <c r="X82" s="131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6"/>
      <c r="DL82" s="106"/>
      <c r="DM82" s="106"/>
      <c r="DN82" s="106"/>
      <c r="DO82" s="106"/>
      <c r="DP82" s="106"/>
      <c r="DQ82" s="106"/>
      <c r="DR82" s="106"/>
      <c r="DS82" s="106"/>
      <c r="DT82" s="106"/>
      <c r="DU82" s="106"/>
      <c r="DV82" s="106"/>
      <c r="DW82" s="106"/>
      <c r="DX82" s="106"/>
      <c r="DY82" s="106"/>
      <c r="DZ82" s="106"/>
      <c r="EA82" s="106"/>
      <c r="EB82" s="106"/>
      <c r="EC82" s="106"/>
      <c r="ED82" s="106"/>
      <c r="EE82" s="106"/>
      <c r="EF82" s="106"/>
      <c r="EG82" s="106"/>
      <c r="EH82" s="106"/>
      <c r="EI82" s="106"/>
      <c r="EJ82" s="106"/>
      <c r="EK82" s="106"/>
      <c r="EL82" s="106"/>
      <c r="EM82" s="106"/>
      <c r="EN82" s="106"/>
      <c r="EO82" s="106"/>
      <c r="EP82" s="106"/>
      <c r="EQ82" s="106"/>
      <c r="ER82" s="106"/>
      <c r="ES82" s="106"/>
      <c r="ET82" s="106"/>
      <c r="EU82" s="106"/>
      <c r="EV82" s="106"/>
      <c r="EW82" s="106"/>
      <c r="EX82" s="106"/>
      <c r="EY82" s="106"/>
      <c r="EZ82" s="106"/>
      <c r="FA82" s="106"/>
      <c r="FB82" s="106"/>
      <c r="FC82" s="106"/>
      <c r="FD82" s="106"/>
      <c r="FE82" s="106"/>
      <c r="FF82" s="106"/>
      <c r="FG82" s="106"/>
      <c r="FH82" s="106"/>
      <c r="FI82" s="106"/>
      <c r="FJ82" s="106"/>
      <c r="FK82" s="106"/>
      <c r="FL82" s="106"/>
      <c r="FM82" s="106"/>
      <c r="FN82" s="106"/>
      <c r="FO82" s="106"/>
      <c r="FP82" s="106"/>
      <c r="FQ82" s="106"/>
      <c r="FR82" s="106"/>
      <c r="FS82" s="106"/>
      <c r="FT82" s="106"/>
      <c r="FU82" s="106"/>
      <c r="FV82" s="106"/>
      <c r="FW82" s="106"/>
      <c r="FX82" s="106"/>
      <c r="FY82" s="106"/>
      <c r="FZ82" s="106"/>
      <c r="GA82" s="106"/>
      <c r="GB82" s="106"/>
      <c r="GC82" s="106"/>
      <c r="GD82" s="106"/>
      <c r="GE82" s="106"/>
      <c r="GF82" s="106"/>
      <c r="GG82" s="106"/>
      <c r="GH82" s="106"/>
      <c r="GI82" s="106"/>
      <c r="GJ82" s="106"/>
      <c r="GK82" s="106"/>
      <c r="GL82" s="106"/>
      <c r="GM82" s="106"/>
      <c r="GN82" s="106"/>
      <c r="GO82" s="106"/>
      <c r="GP82" s="106"/>
      <c r="GQ82" s="106"/>
      <c r="GR82" s="106"/>
      <c r="GS82" s="106"/>
      <c r="GT82" s="106"/>
      <c r="GU82" s="106"/>
      <c r="GV82" s="106"/>
      <c r="GW82" s="106"/>
      <c r="GX82" s="106"/>
      <c r="GY82" s="106"/>
      <c r="GZ82" s="106"/>
      <c r="HA82" s="106"/>
      <c r="HB82" s="106"/>
      <c r="HC82" s="106"/>
      <c r="HD82" s="106"/>
      <c r="HE82" s="106"/>
      <c r="HF82" s="106"/>
      <c r="HG82" s="106"/>
      <c r="XCR82" s="108"/>
      <c r="XCS82" s="108"/>
      <c r="XCT82" s="108"/>
      <c r="XCU82" s="108"/>
      <c r="XCV82" s="108"/>
      <c r="XCW82" s="108"/>
      <c r="XCX82" s="108"/>
      <c r="XCY82" s="108"/>
      <c r="XCZ82" s="108"/>
      <c r="XDA82" s="108"/>
      <c r="XDB82" s="108"/>
      <c r="XDC82" s="108"/>
      <c r="XDD82" s="108"/>
      <c r="XDE82" s="108"/>
      <c r="XDF82" s="108"/>
      <c r="XDG82" s="108"/>
      <c r="XDH82" s="108"/>
      <c r="XDI82" s="108"/>
      <c r="XDJ82" s="108"/>
      <c r="XDK82" s="108"/>
      <c r="XDL82" s="108"/>
      <c r="XDM82" s="108"/>
      <c r="XDN82" s="108"/>
      <c r="XDO82" s="108"/>
      <c r="XDP82" s="108"/>
      <c r="XDQ82" s="108"/>
      <c r="XDR82" s="108"/>
      <c r="XDS82" s="108"/>
      <c r="XDT82" s="108"/>
      <c r="XDU82" s="108"/>
      <c r="XDV82" s="108"/>
      <c r="XDW82" s="108"/>
      <c r="XDX82" s="108"/>
      <c r="XDY82" s="108"/>
      <c r="XDZ82" s="108"/>
      <c r="XEB82" s="108"/>
    </row>
    <row r="83" s="1" customFormat="1" collapsed="1" spans="1:16327">
      <c r="A83" s="113"/>
      <c r="B83" s="32"/>
      <c r="C83" s="48"/>
      <c r="D83" s="33"/>
      <c r="E83" s="43"/>
      <c r="F83" s="33"/>
      <c r="G83" s="33"/>
      <c r="H83" s="33"/>
      <c r="I83" s="121"/>
      <c r="J83" s="46"/>
      <c r="K83" s="46"/>
      <c r="L83" s="46"/>
      <c r="M83" s="121"/>
      <c r="N83" s="121"/>
      <c r="O83" s="121"/>
      <c r="P83" s="121"/>
      <c r="Q83" s="121"/>
      <c r="R83" s="33"/>
      <c r="S83" s="33"/>
      <c r="T83" s="33"/>
      <c r="U83" s="33"/>
      <c r="V83" s="33"/>
      <c r="W83" s="33"/>
      <c r="X83" s="10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XCR83" s="13"/>
      <c r="XCS83" s="13"/>
      <c r="XCT83" s="13"/>
      <c r="XCU83" s="13"/>
      <c r="XCV83" s="13"/>
      <c r="XCW83" s="13"/>
      <c r="XCX83" s="13"/>
      <c r="XCY83" s="13"/>
    </row>
    <row r="84" s="1" customFormat="1" spans="1:16327">
      <c r="A84" s="113"/>
      <c r="B84" s="32"/>
      <c r="C84" s="48"/>
      <c r="D84" s="33"/>
      <c r="E84" s="33"/>
      <c r="F84" s="33"/>
      <c r="G84" s="33"/>
      <c r="H84" s="33"/>
      <c r="I84" s="123"/>
      <c r="J84" s="124"/>
      <c r="K84" s="124"/>
      <c r="L84" s="124"/>
      <c r="M84" s="125"/>
      <c r="N84" s="125"/>
      <c r="O84" s="125"/>
      <c r="P84" s="124"/>
      <c r="Q84" s="123"/>
      <c r="R84" s="123"/>
      <c r="S84" s="33"/>
      <c r="T84" s="46"/>
      <c r="U84" s="123"/>
      <c r="V84" s="123"/>
      <c r="W84" s="33"/>
      <c r="X84" s="10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XCR84" s="13"/>
      <c r="XCS84" s="13"/>
      <c r="XCT84" s="13"/>
      <c r="XCU84" s="13"/>
      <c r="XCV84" s="13"/>
      <c r="XCW84" s="13"/>
      <c r="XCX84" s="13"/>
      <c r="XCY84" s="13"/>
    </row>
    <row r="85" s="7" customFormat="1" ht="16.5" spans="1:16356">
      <c r="A85" s="113"/>
      <c r="B85" s="32"/>
      <c r="C85" s="33"/>
      <c r="D85" s="33"/>
      <c r="E85" s="33"/>
      <c r="F85" s="33">
        <v>1</v>
      </c>
      <c r="G85" s="114">
        <v>2</v>
      </c>
      <c r="H85" s="33">
        <v>3</v>
      </c>
      <c r="I85" s="114">
        <v>4</v>
      </c>
      <c r="J85" s="33">
        <v>5</v>
      </c>
      <c r="K85" s="114">
        <v>6</v>
      </c>
      <c r="L85" s="114"/>
      <c r="M85" s="33">
        <v>7</v>
      </c>
      <c r="N85" s="33"/>
      <c r="O85" s="114"/>
      <c r="P85" s="114">
        <v>16</v>
      </c>
      <c r="Q85" s="33">
        <v>17</v>
      </c>
      <c r="R85" s="114">
        <v>18</v>
      </c>
      <c r="S85" s="114">
        <v>20</v>
      </c>
      <c r="T85" s="33">
        <v>21</v>
      </c>
      <c r="U85" s="33">
        <v>19</v>
      </c>
      <c r="V85" s="33">
        <f t="shared" ref="V85:V93" si="64">T85-U85</f>
        <v>2</v>
      </c>
      <c r="W85" s="114">
        <v>22</v>
      </c>
      <c r="X85" s="10"/>
      <c r="Y85" s="136" t="e">
        <f>#REF!+1</f>
        <v>#REF!</v>
      </c>
      <c r="Z85" s="136" t="e">
        <f>Y85+1</f>
        <v>#REF!</v>
      </c>
      <c r="AA85" s="136" t="e">
        <f>#REF!+1</f>
        <v>#REF!</v>
      </c>
      <c r="AB85" s="137" t="e">
        <f t="shared" ref="AA85:AX85" si="65">AA85+1</f>
        <v>#REF!</v>
      </c>
      <c r="AC85" s="136" t="e">
        <f t="shared" si="65"/>
        <v>#REF!</v>
      </c>
      <c r="AD85" s="136" t="e">
        <f t="shared" si="65"/>
        <v>#REF!</v>
      </c>
      <c r="AE85" s="136" t="e">
        <f t="shared" si="65"/>
        <v>#REF!</v>
      </c>
      <c r="AF85" s="136" t="e">
        <f t="shared" si="65"/>
        <v>#REF!</v>
      </c>
      <c r="AG85" s="136" t="e">
        <f t="shared" si="65"/>
        <v>#REF!</v>
      </c>
      <c r="AH85" s="136" t="e">
        <f t="shared" si="65"/>
        <v>#REF!</v>
      </c>
      <c r="AI85" s="136" t="e">
        <f t="shared" si="65"/>
        <v>#REF!</v>
      </c>
      <c r="AJ85" s="138" t="e">
        <f t="shared" si="65"/>
        <v>#REF!</v>
      </c>
      <c r="AK85" s="136" t="e">
        <f t="shared" si="65"/>
        <v>#REF!</v>
      </c>
      <c r="AL85" s="139" t="e">
        <f t="shared" si="65"/>
        <v>#REF!</v>
      </c>
      <c r="AM85" s="139" t="e">
        <f t="shared" si="65"/>
        <v>#REF!</v>
      </c>
      <c r="AN85" s="136" t="e">
        <f t="shared" si="65"/>
        <v>#REF!</v>
      </c>
      <c r="AO85" s="136" t="e">
        <f t="shared" si="65"/>
        <v>#REF!</v>
      </c>
      <c r="AP85" s="136" t="e">
        <f t="shared" si="65"/>
        <v>#REF!</v>
      </c>
      <c r="AQ85" s="136" t="e">
        <f t="shared" si="65"/>
        <v>#REF!</v>
      </c>
      <c r="AR85" s="136" t="e">
        <f t="shared" si="65"/>
        <v>#REF!</v>
      </c>
      <c r="AS85" s="136" t="e">
        <f t="shared" si="65"/>
        <v>#REF!</v>
      </c>
      <c r="AT85" s="136" t="e">
        <f t="shared" si="65"/>
        <v>#REF!</v>
      </c>
      <c r="AU85" s="136" t="e">
        <f t="shared" si="65"/>
        <v>#REF!</v>
      </c>
      <c r="AV85" s="136" t="e">
        <f t="shared" si="65"/>
        <v>#REF!</v>
      </c>
      <c r="AW85" s="136" t="e">
        <f t="shared" si="65"/>
        <v>#REF!</v>
      </c>
      <c r="AX85" s="136" t="e">
        <f t="shared" si="65"/>
        <v>#REF!</v>
      </c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XCR85" s="140"/>
      <c r="XCS85" s="140"/>
      <c r="XCT85" s="140"/>
      <c r="XCU85" s="140"/>
      <c r="XCV85" s="140"/>
      <c r="XCW85" s="140"/>
      <c r="XCX85" s="140"/>
      <c r="XCY85" s="140"/>
      <c r="XCZ85" s="140"/>
      <c r="XDA85" s="140"/>
      <c r="XDB85" s="140"/>
      <c r="XDC85" s="140"/>
      <c r="XDD85" s="140"/>
      <c r="XDE85" s="140"/>
      <c r="XDF85" s="140"/>
      <c r="XDG85" s="140"/>
      <c r="XDH85" s="140"/>
      <c r="XDI85" s="140"/>
      <c r="XDJ85" s="140"/>
      <c r="XDK85" s="140"/>
      <c r="XDL85" s="140"/>
      <c r="XDM85" s="140"/>
      <c r="XDN85" s="140"/>
      <c r="XDO85" s="140"/>
      <c r="XDP85" s="140"/>
      <c r="XDQ85" s="140"/>
      <c r="XDR85" s="140"/>
      <c r="XDS85" s="140"/>
      <c r="XDT85" s="140"/>
      <c r="XDU85" s="140"/>
      <c r="XDV85" s="140"/>
      <c r="XDW85" s="140"/>
      <c r="XDX85" s="140"/>
      <c r="XDY85" s="140"/>
      <c r="XDZ85" s="140"/>
      <c r="XEB85" s="140"/>
    </row>
    <row r="86" s="1" customFormat="1" ht="18" customHeight="1" spans="1:16327">
      <c r="A86" s="113"/>
      <c r="B86" s="32"/>
      <c r="C86" s="115"/>
      <c r="D86" s="116"/>
      <c r="E86" s="116"/>
      <c r="F86" s="115" t="s">
        <v>146</v>
      </c>
      <c r="G86" s="117">
        <f>SUMIF($D$5:$D$75,F86,$G$5:$G$75)</f>
        <v>4750000</v>
      </c>
      <c r="H86" s="117">
        <f>SUMIF($D$5:$D$75,$F$86,H5:H75)</f>
        <v>2290000</v>
      </c>
      <c r="I86" s="117">
        <f>SUMIF($D$5:$D$75,$F$86,I5:I75)</f>
        <v>0</v>
      </c>
      <c r="J86" s="117">
        <f>SUMIF($D$5:$D$75,$F$86,J5:J75)</f>
        <v>2201564</v>
      </c>
      <c r="K86" s="117">
        <f>SUMIF($D$5:$D$75,$F$86,K5:K75)</f>
        <v>2295498</v>
      </c>
      <c r="L86" s="117"/>
      <c r="M86" s="126">
        <f t="shared" ref="M86:M94" si="66">J86/K86-1</f>
        <v>-0.0409209679119737</v>
      </c>
      <c r="N86" s="117">
        <f>SUMIF($D$5:$D$75,$F$86,N5:N75)</f>
        <v>88436</v>
      </c>
      <c r="O86" s="126">
        <f t="shared" ref="O86:O94" si="67">J86/G86</f>
        <v>0.463487157894737</v>
      </c>
      <c r="P86" s="117">
        <f>SUMIF($D$5:$D$75,$F$86,P5:P75)</f>
        <v>-88436</v>
      </c>
      <c r="Q86" s="117">
        <f>SUMIF($D$5:$D$75,$F$86,Q5:Q75)</f>
        <v>100000</v>
      </c>
      <c r="R86" s="117">
        <f>SUMIF($D$5:$D$75,$F$86,R5:R75)</f>
        <v>42000</v>
      </c>
      <c r="S86" s="117">
        <f>SUMIF($D$5:$D$75,$F$86,S5:S75)</f>
        <v>0</v>
      </c>
      <c r="T86" s="117">
        <f>SUMIF($D$5:$D$75,$F$86,T5:T75)</f>
        <v>42270</v>
      </c>
      <c r="U86" s="117">
        <f>SUMIF($D$5:$D$75,$F$86,U5:U75)</f>
        <v>40049</v>
      </c>
      <c r="V86" s="33">
        <f t="shared" si="64"/>
        <v>2221</v>
      </c>
      <c r="W86" s="132">
        <f t="shared" ref="W86:W93" si="68">T86/U86-1</f>
        <v>0.0554570650952584</v>
      </c>
      <c r="X86" s="133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XCR86" s="13"/>
      <c r="XCS86" s="13"/>
      <c r="XCT86" s="13"/>
      <c r="XCU86" s="13"/>
      <c r="XCV86" s="13"/>
      <c r="XCW86" s="13"/>
      <c r="XCX86" s="13"/>
      <c r="XCY86" s="13"/>
    </row>
    <row r="87" s="1" customFormat="1" ht="18" customHeight="1" spans="1:16327">
      <c r="A87" s="113"/>
      <c r="B87" s="32"/>
      <c r="C87" s="54" t="s">
        <v>155</v>
      </c>
      <c r="D87" s="33"/>
      <c r="E87" s="33"/>
      <c r="F87" s="118" t="s">
        <v>158</v>
      </c>
      <c r="G87" s="119">
        <f>SUMIF($D$5:$D$75,$F$87,G5:G75)-G16-G20</f>
        <v>725300</v>
      </c>
      <c r="H87" s="119">
        <f>SUMIF($D$5:$D$75,$F$87,H5:H75)-H16-H20</f>
        <v>256500</v>
      </c>
      <c r="I87" s="119">
        <f>SUMIF($D$5:$D$75,$F$87,I5:I75)-I16-I20</f>
        <v>204000</v>
      </c>
      <c r="J87" s="119">
        <f>SUMIF($D$5:$D$75,$F$87,J5:J75)-J16-J20</f>
        <v>195458</v>
      </c>
      <c r="K87" s="119">
        <f>SUMIF($D$5:$D$75,$F$87,K5:K75)-K16-K20</f>
        <v>319691</v>
      </c>
      <c r="L87" s="61">
        <f t="shared" ref="L87:L94" si="69">J87-K87</f>
        <v>-124233</v>
      </c>
      <c r="M87" s="127">
        <f t="shared" si="66"/>
        <v>-0.388603370129281</v>
      </c>
      <c r="N87" s="119">
        <f>SUMIF($D$5:$D$75,$F$87,N5:N75)-N16-N20</f>
        <v>72130</v>
      </c>
      <c r="O87" s="126">
        <f t="shared" si="67"/>
        <v>0.269485730042741</v>
      </c>
      <c r="P87" s="119">
        <f>SUMIF($D$5:$D$75,$F$87,P5:P75)</f>
        <v>-42130</v>
      </c>
      <c r="Q87" s="119">
        <f>SUMIF($D$5:$D$75,$F$87,Q5:Q75)-Q16-Q20</f>
        <v>54400</v>
      </c>
      <c r="R87" s="119">
        <f>SUMIF($D$5:$D$75,$F$87,R5:R75)</f>
        <v>5220</v>
      </c>
      <c r="S87" s="119">
        <f>SUMIF($D$5:$D$75,$F$87,S5:S75)</f>
        <v>1930</v>
      </c>
      <c r="T87" s="119">
        <f>SUMIF($D$5:$D$75,$F$87,T5:T75)-T16-T20</f>
        <v>2163</v>
      </c>
      <c r="U87" s="119">
        <f>SUMIF($D$5:$D$75,$F$87,U5:U75)-U16-U20</f>
        <v>23054</v>
      </c>
      <c r="V87" s="33">
        <f t="shared" si="64"/>
        <v>-20891</v>
      </c>
      <c r="W87" s="134">
        <f t="shared" si="68"/>
        <v>-0.906176802290275</v>
      </c>
      <c r="X87" s="135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XCR87" s="13"/>
      <c r="XCS87" s="13"/>
      <c r="XCT87" s="13"/>
      <c r="XCU87" s="13"/>
      <c r="XCV87" s="13"/>
      <c r="XCW87" s="13"/>
      <c r="XCX87" s="13"/>
      <c r="XCY87" s="13"/>
    </row>
    <row r="88" s="1" customFormat="1" ht="18" customHeight="1" spans="1:16327">
      <c r="A88" s="113"/>
      <c r="B88" s="32"/>
      <c r="C88" s="54" t="s">
        <v>206</v>
      </c>
      <c r="D88" s="33"/>
      <c r="E88" s="33"/>
      <c r="F88" s="118" t="s">
        <v>167</v>
      </c>
      <c r="G88" s="119">
        <f>SUMIF($D$5:$D$75,$F$88,G5:G75)</f>
        <v>459000</v>
      </c>
      <c r="H88" s="119">
        <f>SUMIF($D$5:$D$75,$F$88,H5:H75)</f>
        <v>186500</v>
      </c>
      <c r="I88" s="119">
        <f>SUMIF($D$5:$D$75,$F$88,I5:I75)</f>
        <v>157500</v>
      </c>
      <c r="J88" s="119">
        <f>SUMIF($D$5:$D$75,$F$88,J5:J75)</f>
        <v>156011</v>
      </c>
      <c r="K88" s="119">
        <f>SUMIF($D$5:$D$75,$F$88,K5:K75)</f>
        <v>153966</v>
      </c>
      <c r="L88" s="61">
        <f t="shared" si="69"/>
        <v>2045</v>
      </c>
      <c r="M88" s="127">
        <f t="shared" si="66"/>
        <v>0.013282153202655</v>
      </c>
      <c r="N88" s="119">
        <f>SUMIF($D$5:$D$75,$F$88,N5:N75)</f>
        <v>47313</v>
      </c>
      <c r="O88" s="126">
        <f t="shared" si="67"/>
        <v>0.339893246187364</v>
      </c>
      <c r="P88" s="119">
        <f>SUMIF($D$5:$D$75,$F$88,P5:P75)</f>
        <v>-47313</v>
      </c>
      <c r="Q88" s="119">
        <f>SUMIF($D$5:$D$75,$F$88,Q5:Q75)</f>
        <v>19300</v>
      </c>
      <c r="R88" s="119">
        <f>SUMIF($D$5:$D$75,$F$88,R5:R75)</f>
        <v>6060</v>
      </c>
      <c r="S88" s="119">
        <f>SUMIF($D$5:$D$75,$F$88,S5:S75)</f>
        <v>3400</v>
      </c>
      <c r="T88" s="119">
        <f>SUMIF($D$5:$D$75,$F$88,T5:T75)</f>
        <v>5260.6</v>
      </c>
      <c r="U88" s="119">
        <f>SUMIF($D$5:$D$75,$F$88,U5:U75)</f>
        <v>3899</v>
      </c>
      <c r="V88" s="33">
        <f t="shared" si="64"/>
        <v>1361.6</v>
      </c>
      <c r="W88" s="134">
        <f t="shared" si="68"/>
        <v>0.349217748140549</v>
      </c>
      <c r="X88" s="135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XCR88" s="13"/>
      <c r="XCS88" s="13"/>
      <c r="XCT88" s="13"/>
      <c r="XCU88" s="13"/>
      <c r="XCV88" s="13"/>
      <c r="XCW88" s="13"/>
      <c r="XCX88" s="13"/>
      <c r="XCY88" s="13"/>
    </row>
    <row r="89" s="1" customFormat="1" ht="18" customHeight="1" spans="1:16327">
      <c r="A89" s="113"/>
      <c r="B89" s="32"/>
      <c r="C89" s="54" t="s">
        <v>207</v>
      </c>
      <c r="D89" s="33"/>
      <c r="E89" s="33"/>
      <c r="F89" s="118" t="s">
        <v>179</v>
      </c>
      <c r="G89" s="119">
        <f>SUMIF($D$5:$D$75,$F$89,G5:G75)-G38-G43</f>
        <v>560000</v>
      </c>
      <c r="H89" s="119">
        <f>SUMIF($D$5:$D$75,$F$89,H5:H75)-H38-H43</f>
        <v>243700</v>
      </c>
      <c r="I89" s="119">
        <f>SUMIF($D$5:$D$75,$F$89,I5:I75)-I38-I43</f>
        <v>195000</v>
      </c>
      <c r="J89" s="119">
        <f>SUMIF($D$5:$D$75,$F$89,J5:J75)-J38-J43</f>
        <v>238693</v>
      </c>
      <c r="K89" s="119">
        <f>SUMIF($D$5:$D$75,$F$89,K5:K75)-K38-K43</f>
        <v>188905</v>
      </c>
      <c r="L89" s="61">
        <f t="shared" si="69"/>
        <v>49788</v>
      </c>
      <c r="M89" s="127">
        <f t="shared" si="66"/>
        <v>0.263561049204627</v>
      </c>
      <c r="N89" s="119">
        <f>SUMIF($D$5:$D$75,$F$89,N5:N75)-N38-N43</f>
        <v>4621</v>
      </c>
      <c r="O89" s="126">
        <f t="shared" si="67"/>
        <v>0.4262375</v>
      </c>
      <c r="P89" s="119">
        <f>SUMIF($D$5:$D$75,$F$89,P5:P75)</f>
        <v>-3616</v>
      </c>
      <c r="Q89" s="119">
        <f>SUMIF($D$5:$D$75,$F$89,Q5:Q75)-Q38-Q43</f>
        <v>12700</v>
      </c>
      <c r="R89" s="119">
        <f>SUMIF($D$5:$D$75,$F$89,R5:R75)</f>
        <v>3450</v>
      </c>
      <c r="S89" s="119">
        <f>SUMIF($D$5:$D$75,$F$89,S5:S75)</f>
        <v>1850</v>
      </c>
      <c r="T89" s="119">
        <f>SUMIF($D$5:$D$75,$F$89,T5:T75)-T38-T43</f>
        <v>3254</v>
      </c>
      <c r="U89" s="119">
        <f>SUMIF($D$5:$D$75,$F$89,U5:U75)-U38-U43</f>
        <v>2131</v>
      </c>
      <c r="V89" s="33">
        <f t="shared" si="64"/>
        <v>1123</v>
      </c>
      <c r="W89" s="134">
        <f t="shared" si="68"/>
        <v>0.526982637259503</v>
      </c>
      <c r="X89" s="135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XCR89" s="13"/>
      <c r="XCS89" s="13"/>
      <c r="XCT89" s="13"/>
      <c r="XCU89" s="13"/>
      <c r="XCV89" s="13"/>
      <c r="XCW89" s="13"/>
      <c r="XCX89" s="13"/>
      <c r="XCY89" s="13"/>
    </row>
    <row r="90" s="1" customFormat="1" ht="18" customHeight="1" spans="1:16327">
      <c r="A90" s="113"/>
      <c r="B90" s="32"/>
      <c r="C90" s="54" t="s">
        <v>7</v>
      </c>
      <c r="D90" s="33"/>
      <c r="E90" s="33"/>
      <c r="F90" s="118" t="s">
        <v>188</v>
      </c>
      <c r="G90" s="119">
        <f>SUMIF($D$5:$D$75,$F$90,G5:G75)-G51</f>
        <v>863000</v>
      </c>
      <c r="H90" s="119">
        <f>SUMIF($D$5:$D$75,$F$90,H5:H75)-H51</f>
        <v>372500</v>
      </c>
      <c r="I90" s="119">
        <f>SUMIF($D$5:$D$75,$F$90,I5:I75)-I51</f>
        <v>0</v>
      </c>
      <c r="J90" s="119">
        <f>SUMIF($D$5:$D$75,$F$90,J5:J75)-J51</f>
        <v>361451</v>
      </c>
      <c r="K90" s="119">
        <f>SUMIF($D$5:$D$75,$F$90,K5:K75)-K51</f>
        <v>308180</v>
      </c>
      <c r="L90" s="61">
        <f t="shared" si="69"/>
        <v>53271</v>
      </c>
      <c r="M90" s="127">
        <f t="shared" si="66"/>
        <v>0.172856772016354</v>
      </c>
      <c r="N90" s="119">
        <f>SUMIF($D$5:$D$75,$F$90,N5:N75)-N51</f>
        <v>20022</v>
      </c>
      <c r="O90" s="126">
        <f t="shared" si="67"/>
        <v>0.418830822711472</v>
      </c>
      <c r="P90" s="119">
        <f>SUMIF($D$5:$D$75,$F$90,P5:P75)</f>
        <v>-20022</v>
      </c>
      <c r="Q90" s="119">
        <f>SUMIF($D$5:$D$75,$F$90,Q5:Q75)-Q51</f>
        <v>60000</v>
      </c>
      <c r="R90" s="119">
        <f>SUMIF($D$5:$D$75,$F$90,R5:R75)</f>
        <v>30168</v>
      </c>
      <c r="S90" s="119">
        <f>SUMIF($D$5:$D$75,$F$90,S5:S75)</f>
        <v>22900</v>
      </c>
      <c r="T90" s="119">
        <f>SUMIF($D$5:$D$75,$F$90,T5:T75)-T51</f>
        <v>31350</v>
      </c>
      <c r="U90" s="119">
        <f>SUMIF($D$5:$D$75,$F$90,U5:U75)-U51</f>
        <v>19936</v>
      </c>
      <c r="V90" s="33">
        <f t="shared" si="64"/>
        <v>11414</v>
      </c>
      <c r="W90" s="134">
        <f t="shared" si="68"/>
        <v>0.572532102728732</v>
      </c>
      <c r="X90" s="135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XCR90" s="13"/>
      <c r="XCS90" s="13"/>
      <c r="XCT90" s="13"/>
      <c r="XCU90" s="13"/>
      <c r="XCV90" s="13"/>
      <c r="XCW90" s="13"/>
      <c r="XCX90" s="13"/>
      <c r="XCY90" s="13"/>
    </row>
    <row r="91" s="1" customFormat="1" ht="18" customHeight="1" spans="1:16327">
      <c r="A91" s="113"/>
      <c r="B91" s="32"/>
      <c r="C91" s="54" t="s">
        <v>190</v>
      </c>
      <c r="D91" s="33"/>
      <c r="E91" s="33"/>
      <c r="F91" s="118" t="s">
        <v>174</v>
      </c>
      <c r="G91" s="119">
        <f>SUMIF($D$5:$D$75,$F$91,G5:G75)</f>
        <v>30000</v>
      </c>
      <c r="H91" s="119">
        <f>SUMIF($D$5:$D$75,$F$91,H5:H75)</f>
        <v>6200</v>
      </c>
      <c r="I91" s="119">
        <f>SUMIF($D$5:$D$75,$F$91,I5:I75)</f>
        <v>0</v>
      </c>
      <c r="J91" s="119">
        <f>SUMIF($D$5:$D$75,$F$91,J5:J75)</f>
        <v>5481</v>
      </c>
      <c r="K91" s="119">
        <f>SUMIF($D$5:$D$75,$F$91,K5:K75)</f>
        <v>4517</v>
      </c>
      <c r="L91" s="61">
        <f t="shared" si="69"/>
        <v>964</v>
      </c>
      <c r="M91" s="127">
        <f t="shared" si="66"/>
        <v>0.213415984060217</v>
      </c>
      <c r="N91" s="119">
        <f>SUMIF($D$5:$D$75,$F$91,N5:N75)</f>
        <v>735</v>
      </c>
      <c r="O91" s="126">
        <f t="shared" si="67"/>
        <v>0.1827</v>
      </c>
      <c r="P91" s="119">
        <f>SUMIF($D$5:$D$75,$F$91,P5:P75)</f>
        <v>-735</v>
      </c>
      <c r="Q91" s="119">
        <f>SUMIF($D$5:$D$75,$F$91,Q5:Q75)</f>
        <v>-700</v>
      </c>
      <c r="R91" s="119">
        <f>SUMIF($D$5:$D$75,$F$91,R5:R75)</f>
        <v>-800</v>
      </c>
      <c r="S91" s="119">
        <f>SUMIF($D$5:$D$75,$F$91,S5:S75)</f>
        <v>0</v>
      </c>
      <c r="T91" s="119">
        <f>SUMIF($D$5:$D$75,$F$91,T5:T75)</f>
        <v>-2889</v>
      </c>
      <c r="U91" s="119">
        <f>SUMIF($D$5:$D$75,$F$91,U5:U75)</f>
        <v>-1126</v>
      </c>
      <c r="V91" s="33">
        <f t="shared" si="64"/>
        <v>-1763</v>
      </c>
      <c r="W91" s="134">
        <f t="shared" si="68"/>
        <v>1.56571936056838</v>
      </c>
      <c r="X91" s="135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XCR91" s="13"/>
      <c r="XCS91" s="13"/>
      <c r="XCT91" s="13"/>
      <c r="XCU91" s="13"/>
      <c r="XCV91" s="13"/>
      <c r="XCW91" s="13"/>
      <c r="XCX91" s="13"/>
      <c r="XCY91" s="13"/>
    </row>
    <row r="92" s="1" customFormat="1" ht="18" customHeight="1" spans="1:16327">
      <c r="A92" s="113"/>
      <c r="B92" s="32"/>
      <c r="C92" s="54" t="s">
        <v>208</v>
      </c>
      <c r="D92" s="33"/>
      <c r="E92" s="33"/>
      <c r="F92" s="118" t="s">
        <v>192</v>
      </c>
      <c r="G92" s="119">
        <f>SUMIF($D$5:$D$75,$F$92,G5:G75)</f>
        <v>1789600</v>
      </c>
      <c r="H92" s="119">
        <f>SUMIF($D$5:$D$75,$F$92,H5:H75)</f>
        <v>718300</v>
      </c>
      <c r="I92" s="119">
        <f>SUMIF($D$5:$D$75,$F$92,I5:I75)</f>
        <v>737999.8</v>
      </c>
      <c r="J92" s="119">
        <f>SUMIF($D$5:$D$75,$F$92,J5:J75)</f>
        <v>754408</v>
      </c>
      <c r="K92" s="119">
        <f>SUMIF($D$5:$D$75,$F$92,K5:K75)</f>
        <v>725746</v>
      </c>
      <c r="L92" s="61">
        <f t="shared" si="69"/>
        <v>28662</v>
      </c>
      <c r="M92" s="127">
        <f t="shared" si="66"/>
        <v>0.0394931560077492</v>
      </c>
      <c r="N92" s="119">
        <f>SUMIF($D$5:$D$75,$F$92,N5:N75)</f>
        <v>-9142.19999999995</v>
      </c>
      <c r="O92" s="126">
        <f t="shared" si="67"/>
        <v>0.421551184622262</v>
      </c>
      <c r="P92" s="119">
        <f>SUMIF($D$5:$D$75,$F$92,P5:P75)</f>
        <v>13731.2</v>
      </c>
      <c r="Q92" s="119">
        <f>SUMIF($D$5:$D$75,$F$92,Q5:Q75)</f>
        <v>11700</v>
      </c>
      <c r="R92" s="119">
        <f>SUMIF($D$5:$D$75,$F$92,R5:R75)</f>
        <v>5480</v>
      </c>
      <c r="S92" s="119">
        <f>SUMIF($D$5:$D$75,$F$92,S5:S75)</f>
        <v>0</v>
      </c>
      <c r="T92" s="119">
        <f>SUMIF($D$5:$D$75,$F$92,T5:T75)</f>
        <v>6159</v>
      </c>
      <c r="U92" s="119">
        <f>SUMIF($D$5:$D$75,$F$92,U5:U75)</f>
        <v>9682</v>
      </c>
      <c r="V92" s="33">
        <f t="shared" si="64"/>
        <v>-3523</v>
      </c>
      <c r="W92" s="134">
        <f t="shared" si="68"/>
        <v>-0.363871101012188</v>
      </c>
      <c r="X92" s="135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XCR92" s="13"/>
      <c r="XCS92" s="13"/>
      <c r="XCT92" s="13"/>
      <c r="XCU92" s="13"/>
      <c r="XCV92" s="13"/>
      <c r="XCW92" s="13"/>
      <c r="XCX92" s="13"/>
      <c r="XCY92" s="13"/>
    </row>
    <row r="93" s="1" customFormat="1" ht="18" customHeight="1" spans="1:16327">
      <c r="A93" s="113"/>
      <c r="B93" s="32"/>
      <c r="C93" s="54" t="s">
        <v>209</v>
      </c>
      <c r="D93" s="33"/>
      <c r="E93" s="33"/>
      <c r="F93" s="118" t="s">
        <v>197</v>
      </c>
      <c r="G93" s="119">
        <f>SUMIF($D$5:$D$75,$F$93,G5:G75)-G72</f>
        <v>165100</v>
      </c>
      <c r="H93" s="119">
        <f>SUMIF($D$5:$D$75,$F$93,H5:H75)-H72</f>
        <v>84590</v>
      </c>
      <c r="I93" s="119">
        <f>SUMIF($D$5:$D$75,$F$93,I5:I75)-I72</f>
        <v>0</v>
      </c>
      <c r="J93" s="119">
        <f>SUMIF($D$5:$D$75,$F$93,J5:J75)-J72</f>
        <v>75856</v>
      </c>
      <c r="K93" s="119">
        <f>SUMIF($D$5:$D$75,$F$93,K5:K75)-K72</f>
        <v>69311</v>
      </c>
      <c r="L93" s="61">
        <f t="shared" si="69"/>
        <v>6545</v>
      </c>
      <c r="M93" s="127">
        <f t="shared" si="66"/>
        <v>0.0944294556419616</v>
      </c>
      <c r="N93" s="119">
        <f>SUMIF($D$5:$D$75,$F$93,N5:N75)-N72</f>
        <v>0</v>
      </c>
      <c r="O93" s="126">
        <f t="shared" si="67"/>
        <v>0.459454875832829</v>
      </c>
      <c r="P93" s="119">
        <f>SUMIF($D$5:$D$75,$F$93,P5:P75)</f>
        <v>-10609</v>
      </c>
      <c r="Q93" s="119">
        <f>SUMIF($D$5:$D$75,$F$93,Q5:Q75)-Q72</f>
        <v>9730</v>
      </c>
      <c r="R93" s="119">
        <f>SUMIF($D$5:$D$75,$F$93,R5:R75)</f>
        <v>5930</v>
      </c>
      <c r="S93" s="119">
        <f>SUMIF($D$5:$D$75,$F$93,S5:S75)</f>
        <v>0</v>
      </c>
      <c r="T93" s="119">
        <f>SUMIF($D$5:$D$75,$F$93,T5:T75)-T72</f>
        <v>7032.4</v>
      </c>
      <c r="U93" s="119">
        <f>SUMIF($D$5:$D$75,$F$93,U5:U75)-U72</f>
        <v>3203</v>
      </c>
      <c r="V93" s="33">
        <f t="shared" si="64"/>
        <v>3829.4</v>
      </c>
      <c r="W93" s="134">
        <f t="shared" si="68"/>
        <v>1.19556665625976</v>
      </c>
      <c r="X93" s="135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XCR93" s="13"/>
      <c r="XCS93" s="13"/>
      <c r="XCT93" s="13"/>
      <c r="XCU93" s="13"/>
      <c r="XCV93" s="13"/>
      <c r="XCW93" s="13"/>
      <c r="XCX93" s="13"/>
      <c r="XCY93" s="13"/>
    </row>
    <row r="94" s="1" customFormat="1" ht="18" customHeight="1" spans="1:16327">
      <c r="A94" s="113"/>
      <c r="B94" s="32"/>
      <c r="C94" s="54" t="s">
        <v>210</v>
      </c>
      <c r="D94" s="33"/>
      <c r="E94" s="33"/>
      <c r="F94" s="118" t="s">
        <v>163</v>
      </c>
      <c r="G94" s="119">
        <f>SUMIF($D$5:$D$75,$F$94,G5:G75)</f>
        <v>540000</v>
      </c>
      <c r="H94" s="119">
        <f>SUMIF($D$5:$D$75,$F$94,H5:H75)</f>
        <v>427000</v>
      </c>
      <c r="I94" s="119">
        <f>SUMIF($D$5:$D$75,$F$94,I5:I75)</f>
        <v>186000</v>
      </c>
      <c r="J94" s="119">
        <f>SUMIF($D$5:$D$75,$F$94,J5:J75)</f>
        <v>417244</v>
      </c>
      <c r="K94" s="119">
        <f>SUMIF($D$5:$D$75,$F$94,K5:K75)</f>
        <v>496324</v>
      </c>
      <c r="L94" s="61">
        <f t="shared" si="69"/>
        <v>-79080</v>
      </c>
      <c r="M94" s="127">
        <f t="shared" si="66"/>
        <v>-0.159331404485779</v>
      </c>
      <c r="N94" s="119">
        <f>SUMIF($D$5:$D$75,$F$94,N5:N75)</f>
        <v>11000</v>
      </c>
      <c r="O94" s="126">
        <f t="shared" si="67"/>
        <v>0.772674074074074</v>
      </c>
      <c r="P94" s="119"/>
      <c r="Q94" s="119">
        <f>SUMIF($D$5:$D$75,$F$94,Q5:Q75)</f>
        <v>0</v>
      </c>
      <c r="R94" s="119"/>
      <c r="S94" s="119"/>
      <c r="T94" s="119">
        <f>SUMIF($D$5:$D$75,$F$94,T5:T75)</f>
        <v>0</v>
      </c>
      <c r="U94" s="119">
        <f>SUMIF($D$5:$D$75,$F$94,U5:U75)</f>
        <v>0</v>
      </c>
      <c r="V94" s="119"/>
      <c r="W94" s="127"/>
      <c r="X94" s="135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XCR94" s="13"/>
      <c r="XCS94" s="13"/>
      <c r="XCT94" s="13"/>
      <c r="XCU94" s="13"/>
      <c r="XCV94" s="13"/>
      <c r="XCW94" s="13"/>
      <c r="XCX94" s="13"/>
      <c r="XCY94" s="13"/>
    </row>
    <row r="96" spans="3:12">
      <c r="C96" s="120" t="s">
        <v>211</v>
      </c>
      <c r="G96" s="10">
        <f t="shared" ref="G96:K96" si="70">G87+G88+G89+G90+G91+G92+G93+G94</f>
        <v>5132000</v>
      </c>
      <c r="H96" s="10">
        <f t="shared" si="70"/>
        <v>2295290</v>
      </c>
      <c r="I96" s="10">
        <f t="shared" si="70"/>
        <v>1480499.8</v>
      </c>
      <c r="J96" s="10">
        <f t="shared" si="70"/>
        <v>2204602</v>
      </c>
      <c r="K96" s="10">
        <f t="shared" si="70"/>
        <v>2266640</v>
      </c>
      <c r="L96" s="10"/>
    </row>
    <row r="97" spans="7:12">
      <c r="G97" s="10">
        <f t="shared" ref="G97:K97" si="71">G12-G96</f>
        <v>5000</v>
      </c>
      <c r="H97" s="10">
        <f t="shared" si="71"/>
        <v>5048</v>
      </c>
      <c r="I97" s="10"/>
      <c r="J97" s="10">
        <f t="shared" si="71"/>
        <v>-13902</v>
      </c>
      <c r="K97" s="10">
        <f t="shared" si="71"/>
        <v>6380</v>
      </c>
      <c r="L97" s="10"/>
    </row>
  </sheetData>
  <sheetProtection formatCells="0" insertHyperlinks="0" autoFilter="0"/>
  <mergeCells count="40">
    <mergeCell ref="A1:X1"/>
    <mergeCell ref="G2:P2"/>
    <mergeCell ref="Q2:X2"/>
    <mergeCell ref="A5:C5"/>
    <mergeCell ref="B6:C6"/>
    <mergeCell ref="B7:C7"/>
    <mergeCell ref="B8:C8"/>
    <mergeCell ref="B9:C9"/>
    <mergeCell ref="B10:C10"/>
    <mergeCell ref="A11:C11"/>
    <mergeCell ref="A2:A4"/>
    <mergeCell ref="A13:A25"/>
    <mergeCell ref="A26:A34"/>
    <mergeCell ref="A35:A45"/>
    <mergeCell ref="A46:A53"/>
    <mergeCell ref="A54:A56"/>
    <mergeCell ref="A57:A65"/>
    <mergeCell ref="A66:A75"/>
    <mergeCell ref="B2:B4"/>
    <mergeCell ref="C2:C4"/>
    <mergeCell ref="E2:E4"/>
    <mergeCell ref="F2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</mergeCells>
  <conditionalFormatting sqref="O$1:O$1048576">
    <cfRule type="cellIs" dxfId="1" priority="2" operator="greaterThan">
      <formula>0.5</formula>
    </cfRule>
  </conditionalFormatting>
  <conditionalFormatting sqref="X$1:X$1048576">
    <cfRule type="cellIs" dxfId="1" priority="1" operator="greaterThan">
      <formula>0.5</formula>
    </cfRule>
  </conditionalFormatting>
  <printOptions horizontalCentered="1"/>
  <pageMargins left="0.118055555555556" right="0.0784722222222222" top="0.66875" bottom="0.590277777777778" header="0.5" footer="0.236111111111111"/>
  <pageSetup paperSize="9" fitToHeight="0" orientation="landscape"/>
  <headerFooter/>
  <rowBreaks count="1" manualBreakCount="1">
    <brk id="75" max="42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N+TR�~	gNJS:NN783�vsQT�YOё�:
�kJSt^��^pe\288N�dk:Ng�epencYOё�:
�k21�e��^pe\760N�U��ʑ:NKNMRؚ0O�N�k)R�140:Ng�epencYO�y:
TRd��m]N5uhVR�~174N�~%�)R�m��bh�)R�mNYOё�:
�bh�)R�m65NCQ�bh�)R�m83N��~%�)R�m120N�~%�)R�m��bh�)R�m:NNYOё�:
�bh�)R�mYOё�:
�bh�)R�mNYOё�:
�[*�MOnUSSO�k21�e��^ё��\N�dk:Ng�epenc+TN:_1-3gH�T:
+TN:_1-3gN�S�%f:
_lnq�b>k?b��O�^FUN�c�S?bP[H�T�suQ5u݋�S��zf�T�N_c180NYO�y:
TRd�Ye��lQ�SR�~279NYOё�:
�~%�)R�mYO�y�~%�)R�m��bh�)R�m:N-29NYOё�:
�bh�)R�m�bh�)R�m��~%�)R�m250NYOё�:
ĉ!jN�R/fNpNNVS�t^�]\PbkTRd��O�NR�~62NYOё�:
TRd��O�NR�~62NN+TR�~	gNJS:NN783�vsQT�YOё��kJSt^��^pe\288N�dk:Ng�epencYOё��k21�e��^pe\760N�U��ʑ:NKNMRؚ0O�N�k)R�140:Ng�epenc�~%�)R�m��bh�)R�mN�~%�)R�m��bh�)R�m:NNYOё��[*�MOnUSSO�k21�e��^ё��\N�dk:Ng�epenc+TN:_1-3g�S�%f:
_lnq�b>k?b��O�^FUN�c�S?bP[H�T�suQ5u݋�S��zf�T�N_c180NYOё��~%�)R�mYO�y�~%�)R�m��bh�)R�m:N-29NYOё�:
ĉ!jN�R/fNpNNVS�t^�]\PbkTRd��O�NR�~62N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WWO_feishu_20230531100529-62b4f7f279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附表1 各板块1-4月主要指标（原）</vt:lpstr>
      <vt:lpstr>附表1-1 各公司1-4月主要指标明细</vt:lpstr>
      <vt:lpstr>附表2 集团1-4月贸易业务明细</vt:lpstr>
      <vt:lpstr>附表3  集团1-4月在绵网报产值明细</vt:lpstr>
      <vt:lpstr>附件1九洲集团二〇二四年三季度主要经济指标计划</vt:lpstr>
      <vt:lpstr>半年指标预计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西小乖</cp:lastModifiedBy>
  <dcterms:created xsi:type="dcterms:W3CDTF">2023-10-29T20:41:00Z</dcterms:created>
  <cp:lastPrinted>2024-04-29T18:15:00Z</cp:lastPrinted>
  <dcterms:modified xsi:type="dcterms:W3CDTF">2024-07-10T10:38:20Z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2023-11-29T17:16:53Z</vt:filetime>
  </property>
  <property fmtid="{D5CDD505-2E9C-101B-9397-08002B2CF9AE}" pid="4" name="ICV">
    <vt:lpwstr>1CE023CDB9EA4A3BB2BE7B990326D5D3_13</vt:lpwstr>
  </property>
  <property fmtid="{D5CDD505-2E9C-101B-9397-08002B2CF9AE}" pid="5" name="KSOProductBuildVer">
    <vt:lpwstr>2052-12.1.0.17147</vt:lpwstr>
  </property>
  <property fmtid="{D5CDD505-2E9C-101B-9397-08002B2CF9AE}" pid="6" name="KSOReadingLayout">
    <vt:bool>true</vt:bool>
  </property>
</Properties>
</file>